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166925"/>
  <mc:AlternateContent xmlns:mc="http://schemas.openxmlformats.org/markup-compatibility/2006">
    <mc:Choice Requires="x15">
      <x15ac:absPath xmlns:x15ac="http://schemas.microsoft.com/office/spreadsheetml/2010/11/ac" url="C:\Users\VVG1\Documents\Marijampolės VVG\Strategija 3\Kvietimai\12\Dokumentai\"/>
    </mc:Choice>
  </mc:AlternateContent>
  <xr:revisionPtr revIDLastSave="0" documentId="13_ncr:1_{60ED4A12-0AE7-4280-B5C1-4D1DF523C2F8}" xr6:coauthVersionLast="47" xr6:coauthVersionMax="47" xr10:uidLastSave="{00000000-0000-0000-0000-000000000000}"/>
  <workbookProtection workbookAlgorithmName="SHA-512" workbookHashValue="ffjwqmLCzfm+C3HhyDOUZCi/ECbIzfCXB3xCfl1TdAa1Znz1HuN01eoKtJl7T6Xg5gPbPD4dVzvIOdkUY0WSBg==" workbookSaltValue="fWTBnOAuU4P59bCHlJSH/Q==" workbookSpinCount="100000" lockStructure="1"/>
  <bookViews>
    <workbookView xWindow="-108" yWindow="-108" windowWidth="23256" windowHeight="13896" firstSheet="3" activeTab="16" xr2:uid="{00000000-000D-0000-FFFF-FFFF00000000}"/>
  </bookViews>
  <sheets>
    <sheet name="FA_nvoFormos" sheetId="35" state="hidden" r:id="rId1"/>
    <sheet name="Konstantos" sheetId="24" state="hidden" r:id="rId2"/>
    <sheet name="Forma" sheetId="29" state="hidden" r:id="rId3"/>
    <sheet name="Parametrai" sheetId="27" r:id="rId4"/>
    <sheet name="TURINYS" sheetId="2" r:id="rId5"/>
    <sheet name="Pastabos" sheetId="28" r:id="rId6"/>
    <sheet name="1" sheetId="23" r:id="rId7"/>
    <sheet name="2-3" sheetId="25" r:id="rId8"/>
    <sheet name="4" sheetId="6" r:id="rId9"/>
    <sheet name="5" sheetId="11" r:id="rId10"/>
    <sheet name="6" sheetId="10" r:id="rId11"/>
    <sheet name="7" sheetId="7" r:id="rId12"/>
    <sheet name="8" sheetId="12" r:id="rId13"/>
    <sheet name="9.1" sheetId="13" r:id="rId14"/>
    <sheet name="9.2" sheetId="14" r:id="rId15"/>
    <sheet name="9.3" sheetId="15" r:id="rId16"/>
    <sheet name="10" sheetId="16" r:id="rId17"/>
  </sheets>
  <definedNames>
    <definedName name="Meniu_ParamosIšmokėjimoBūdai">ParamosIšmokėjimoBūdai[Meniu_Būdas]</definedName>
    <definedName name="Meniu_TaipNe">TaipNe[Taip ar Ne]</definedName>
    <definedName name="_xlnm.Print_Area" localSheetId="6">'1'!$A$1:$E$33</definedName>
    <definedName name="_xlnm.Print_Area" localSheetId="16">'10'!$A$1:$L$17</definedName>
    <definedName name="_xlnm.Print_Area" localSheetId="7">'2-3'!$A$1:$K$29</definedName>
    <definedName name="_xlnm.Print_Area" localSheetId="8">'4'!$A$1:$L$86</definedName>
    <definedName name="_xlnm.Print_Area" localSheetId="9">'5'!$A$1:$F$89</definedName>
    <definedName name="_xlnm.Print_Area" localSheetId="10">'6'!$B$1:$L$69</definedName>
    <definedName name="_xlnm.Print_Area" localSheetId="11">'7'!$A$1:$K$31</definedName>
    <definedName name="_xlnm.Print_Area" localSheetId="12">'8'!$B$1:$P$11,'8'!$B$13:$L$35</definedName>
    <definedName name="_xlnm.Print_Area" localSheetId="13">'9.1'!$B$1:$L$66</definedName>
    <definedName name="_xlnm.Print_Area" localSheetId="14">'9.2'!$B$1:$L$27</definedName>
    <definedName name="_xlnm.Print_Area" localSheetId="15">'9.3'!$B$1:$L$64</definedName>
    <definedName name="_xlnm.Print_Area" localSheetId="3">Parametrai!$A$1:$C$32</definedName>
    <definedName name="_xlnm.Print_Area" localSheetId="4">TURINYS!$B$2:$D$17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12" i="13" l="1"/>
  <c r="F12" i="13"/>
  <c r="G12" i="13"/>
  <c r="H12" i="13"/>
  <c r="I12" i="13"/>
  <c r="J12" i="13"/>
  <c r="K12" i="13"/>
  <c r="L12" i="13"/>
  <c r="E15" i="13" l="1"/>
  <c r="F15" i="13"/>
  <c r="G15" i="13"/>
  <c r="H15" i="13"/>
  <c r="I15" i="13"/>
  <c r="J15" i="13"/>
  <c r="K15" i="13"/>
  <c r="L15" i="13"/>
  <c r="E9" i="13"/>
  <c r="F9" i="13"/>
  <c r="G9" i="13"/>
  <c r="H9" i="13"/>
  <c r="I9" i="13"/>
  <c r="J9" i="13"/>
  <c r="K9" i="13"/>
  <c r="L9" i="13"/>
  <c r="F55" i="15"/>
  <c r="F51" i="15" s="1"/>
  <c r="G55" i="15"/>
  <c r="H55" i="15"/>
  <c r="I55" i="15"/>
  <c r="J55" i="15"/>
  <c r="K55" i="15"/>
  <c r="L55" i="15"/>
  <c r="F54" i="15"/>
  <c r="G54" i="15"/>
  <c r="H54" i="15"/>
  <c r="I54" i="15"/>
  <c r="J54" i="15"/>
  <c r="K54" i="15"/>
  <c r="L54" i="15"/>
  <c r="F52" i="15"/>
  <c r="G52" i="15"/>
  <c r="H52" i="15"/>
  <c r="I52" i="15"/>
  <c r="J52" i="15"/>
  <c r="K52" i="15"/>
  <c r="L52" i="15"/>
  <c r="H51" i="15"/>
  <c r="J51" i="15"/>
  <c r="L51" i="15"/>
  <c r="F49" i="15"/>
  <c r="G49" i="15"/>
  <c r="H49" i="15"/>
  <c r="H48" i="15" s="1"/>
  <c r="I49" i="15"/>
  <c r="J49" i="15"/>
  <c r="K49" i="15"/>
  <c r="K48" i="15" s="1"/>
  <c r="L49" i="15"/>
  <c r="F48" i="15"/>
  <c r="G48" i="15"/>
  <c r="I48" i="15"/>
  <c r="J48" i="15"/>
  <c r="L48" i="15"/>
  <c r="F42" i="15"/>
  <c r="G42" i="15"/>
  <c r="H42" i="15"/>
  <c r="I42" i="15"/>
  <c r="J42" i="15"/>
  <c r="K42" i="15"/>
  <c r="L42" i="15"/>
  <c r="F39" i="15"/>
  <c r="G39" i="15"/>
  <c r="H39" i="15"/>
  <c r="I39" i="15"/>
  <c r="J39" i="15"/>
  <c r="K39" i="15"/>
  <c r="L39" i="15"/>
  <c r="F38" i="15"/>
  <c r="G38" i="15"/>
  <c r="H38" i="15"/>
  <c r="I38" i="15"/>
  <c r="J38" i="15"/>
  <c r="K38" i="15"/>
  <c r="L38" i="15"/>
  <c r="F37" i="15"/>
  <c r="G37" i="15"/>
  <c r="H37" i="15"/>
  <c r="I37" i="15"/>
  <c r="J37" i="15"/>
  <c r="K37" i="15"/>
  <c r="L37" i="15"/>
  <c r="F28" i="15"/>
  <c r="G28" i="15"/>
  <c r="H28" i="15"/>
  <c r="I28" i="15"/>
  <c r="J28" i="15"/>
  <c r="K28" i="15"/>
  <c r="L28" i="15"/>
  <c r="F27" i="15"/>
  <c r="G27" i="15"/>
  <c r="H27" i="15"/>
  <c r="I27" i="15"/>
  <c r="J27" i="15"/>
  <c r="K27" i="15"/>
  <c r="L27" i="15"/>
  <c r="F26" i="15"/>
  <c r="G26" i="15"/>
  <c r="H26" i="15"/>
  <c r="I26" i="15"/>
  <c r="J26" i="15"/>
  <c r="K26" i="15"/>
  <c r="L26" i="15"/>
  <c r="F25" i="15"/>
  <c r="G25" i="15"/>
  <c r="H25" i="15"/>
  <c r="I25" i="15"/>
  <c r="J25" i="15"/>
  <c r="K25" i="15"/>
  <c r="L25" i="15"/>
  <c r="F24" i="15"/>
  <c r="G24" i="15"/>
  <c r="H24" i="15"/>
  <c r="I24" i="15"/>
  <c r="J24" i="15"/>
  <c r="K24" i="15"/>
  <c r="L24" i="15"/>
  <c r="F23" i="15"/>
  <c r="G23" i="15"/>
  <c r="H23" i="15"/>
  <c r="I23" i="15"/>
  <c r="J23" i="15"/>
  <c r="K23" i="15"/>
  <c r="L23" i="15"/>
  <c r="F22" i="15"/>
  <c r="G22" i="15"/>
  <c r="H22" i="15"/>
  <c r="I22" i="15"/>
  <c r="J22" i="15"/>
  <c r="K22" i="15"/>
  <c r="L22" i="15"/>
  <c r="F21" i="15"/>
  <c r="G21" i="15"/>
  <c r="H21" i="15"/>
  <c r="I21" i="15"/>
  <c r="J21" i="15"/>
  <c r="K21" i="15"/>
  <c r="L21" i="15"/>
  <c r="F20" i="15"/>
  <c r="G20" i="15"/>
  <c r="H20" i="15"/>
  <c r="I20" i="15"/>
  <c r="J20" i="15"/>
  <c r="K20" i="15"/>
  <c r="F19" i="15"/>
  <c r="G19" i="15"/>
  <c r="H19" i="15"/>
  <c r="I19" i="15"/>
  <c r="J19" i="15"/>
  <c r="K19" i="15"/>
  <c r="L19" i="15"/>
  <c r="F18" i="15"/>
  <c r="G18" i="15"/>
  <c r="H18" i="15"/>
  <c r="I18" i="15"/>
  <c r="J18" i="15"/>
  <c r="K18" i="15"/>
  <c r="L18" i="15"/>
  <c r="F17" i="15"/>
  <c r="G17" i="15"/>
  <c r="H17" i="15"/>
  <c r="I17" i="15"/>
  <c r="J17" i="15"/>
  <c r="K17" i="15"/>
  <c r="L17" i="15"/>
  <c r="F16" i="15"/>
  <c r="G16" i="15"/>
  <c r="H16" i="15"/>
  <c r="I16" i="15"/>
  <c r="J16" i="15"/>
  <c r="K16" i="15"/>
  <c r="L16" i="15"/>
  <c r="F15" i="15"/>
  <c r="G15" i="15"/>
  <c r="H15" i="15"/>
  <c r="I15" i="15"/>
  <c r="J15" i="15"/>
  <c r="K15" i="15"/>
  <c r="L15" i="15"/>
  <c r="F11" i="15"/>
  <c r="G11" i="15"/>
  <c r="H11" i="15"/>
  <c r="I11" i="15"/>
  <c r="J11" i="15"/>
  <c r="K11" i="15"/>
  <c r="L11" i="15"/>
  <c r="F10" i="15"/>
  <c r="G10" i="15"/>
  <c r="H10" i="15"/>
  <c r="I10" i="15"/>
  <c r="J10" i="15"/>
  <c r="K10" i="15"/>
  <c r="L10" i="15"/>
  <c r="F21" i="14"/>
  <c r="G21" i="14"/>
  <c r="H21" i="14"/>
  <c r="I21" i="14"/>
  <c r="J21" i="14"/>
  <c r="K21" i="14"/>
  <c r="L21" i="14"/>
  <c r="F16" i="14"/>
  <c r="G16" i="14"/>
  <c r="H16" i="14"/>
  <c r="I16" i="14"/>
  <c r="J16" i="14"/>
  <c r="K16" i="14"/>
  <c r="L16" i="14"/>
  <c r="F15" i="14"/>
  <c r="G15" i="14"/>
  <c r="H15" i="14"/>
  <c r="I15" i="14"/>
  <c r="J15" i="14"/>
  <c r="K15" i="14"/>
  <c r="L15" i="14"/>
  <c r="F59" i="13"/>
  <c r="F57" i="13" s="1"/>
  <c r="G59" i="13"/>
  <c r="G57" i="13" s="1"/>
  <c r="H59" i="13"/>
  <c r="I59" i="13"/>
  <c r="J59" i="13"/>
  <c r="K59" i="13"/>
  <c r="L59" i="13"/>
  <c r="F58" i="13"/>
  <c r="G58" i="13"/>
  <c r="H58" i="13"/>
  <c r="H57" i="13" s="1"/>
  <c r="I58" i="13"/>
  <c r="J58" i="13"/>
  <c r="J52" i="13" s="1"/>
  <c r="J51" i="13" s="1"/>
  <c r="K58" i="13"/>
  <c r="L58" i="13"/>
  <c r="I57" i="13"/>
  <c r="K57" i="13"/>
  <c r="L57" i="13"/>
  <c r="F53" i="13"/>
  <c r="G53" i="13"/>
  <c r="H53" i="13"/>
  <c r="I53" i="13"/>
  <c r="J53" i="13"/>
  <c r="K53" i="13"/>
  <c r="L53" i="13"/>
  <c r="F52" i="13"/>
  <c r="G52" i="13"/>
  <c r="G51" i="13" s="1"/>
  <c r="H52" i="13"/>
  <c r="H51" i="13" s="1"/>
  <c r="I52" i="13"/>
  <c r="K52" i="13"/>
  <c r="K51" i="13" s="1"/>
  <c r="L52" i="13"/>
  <c r="I51" i="13"/>
  <c r="L51" i="13"/>
  <c r="L50" i="13" s="1"/>
  <c r="G28" i="13"/>
  <c r="H28" i="13"/>
  <c r="I28" i="13"/>
  <c r="J28" i="13"/>
  <c r="K28" i="13"/>
  <c r="L28" i="13"/>
  <c r="G21" i="13"/>
  <c r="H21" i="13"/>
  <c r="I21" i="13"/>
  <c r="J21" i="13"/>
  <c r="K21" i="13"/>
  <c r="L21" i="13"/>
  <c r="F14" i="13"/>
  <c r="G14" i="13"/>
  <c r="H14" i="13"/>
  <c r="I14" i="13"/>
  <c r="J14" i="13"/>
  <c r="K14" i="13"/>
  <c r="L14" i="13"/>
  <c r="F13" i="13"/>
  <c r="G13" i="13"/>
  <c r="H13" i="13"/>
  <c r="I13" i="13"/>
  <c r="J13" i="13"/>
  <c r="K13" i="13"/>
  <c r="L13" i="13"/>
  <c r="F33" i="12"/>
  <c r="F30" i="12"/>
  <c r="F23" i="12"/>
  <c r="F18" i="12"/>
  <c r="G18" i="12" s="1"/>
  <c r="H18" i="12" s="1"/>
  <c r="I18" i="12" s="1"/>
  <c r="J18" i="12" s="1"/>
  <c r="K18" i="12" s="1"/>
  <c r="L18" i="12" s="1"/>
  <c r="F17" i="12"/>
  <c r="G17" i="12"/>
  <c r="H17" i="12" s="1"/>
  <c r="I17" i="12" s="1"/>
  <c r="J17" i="12" s="1"/>
  <c r="K17" i="12" s="1"/>
  <c r="L17" i="12" s="1"/>
  <c r="F16" i="12"/>
  <c r="E31" i="7"/>
  <c r="F31" i="7"/>
  <c r="G31" i="7"/>
  <c r="H31" i="7"/>
  <c r="I31" i="7"/>
  <c r="J31" i="7"/>
  <c r="K31" i="7"/>
  <c r="E29" i="7"/>
  <c r="F29" i="7"/>
  <c r="G29" i="7"/>
  <c r="H29" i="7"/>
  <c r="I29" i="7"/>
  <c r="J29" i="7"/>
  <c r="K29" i="7"/>
  <c r="E21" i="7"/>
  <c r="F21" i="7"/>
  <c r="G21" i="7"/>
  <c r="H21" i="7"/>
  <c r="I21" i="7"/>
  <c r="J21" i="7"/>
  <c r="K21" i="7"/>
  <c r="E6" i="7"/>
  <c r="F6" i="7"/>
  <c r="G6" i="7"/>
  <c r="H6" i="7"/>
  <c r="I6" i="7"/>
  <c r="J6" i="7"/>
  <c r="K6" i="7"/>
  <c r="F68" i="10"/>
  <c r="G68" i="10"/>
  <c r="H68" i="10"/>
  <c r="I68" i="10"/>
  <c r="J68" i="10"/>
  <c r="K68" i="10"/>
  <c r="L68" i="10"/>
  <c r="F67" i="10"/>
  <c r="G67" i="10"/>
  <c r="H67" i="10"/>
  <c r="I67" i="10"/>
  <c r="J67" i="10"/>
  <c r="K67" i="10"/>
  <c r="L67" i="10"/>
  <c r="F66" i="10"/>
  <c r="E12" i="7" s="1"/>
  <c r="F9" i="15" s="1"/>
  <c r="G66" i="10"/>
  <c r="F12" i="7" s="1"/>
  <c r="H66" i="10"/>
  <c r="G12" i="7" s="1"/>
  <c r="G14" i="7" s="1"/>
  <c r="H12" i="14" s="1"/>
  <c r="I66" i="10"/>
  <c r="H12" i="7" s="1"/>
  <c r="J66" i="10"/>
  <c r="I12" i="7" s="1"/>
  <c r="K66" i="10"/>
  <c r="J12" i="7" s="1"/>
  <c r="L66" i="10"/>
  <c r="K12" i="7" s="1"/>
  <c r="F65" i="10"/>
  <c r="G65" i="10"/>
  <c r="H65" i="10"/>
  <c r="I65" i="10"/>
  <c r="J65" i="10"/>
  <c r="K65" i="10"/>
  <c r="L65" i="10"/>
  <c r="F64" i="10"/>
  <c r="G64" i="10"/>
  <c r="H64" i="10"/>
  <c r="I64" i="10"/>
  <c r="J64" i="10"/>
  <c r="K64" i="10"/>
  <c r="L64" i="10"/>
  <c r="F63" i="10"/>
  <c r="G63" i="10"/>
  <c r="H63" i="10"/>
  <c r="I63" i="10"/>
  <c r="J63" i="10"/>
  <c r="K63" i="10"/>
  <c r="L63" i="10"/>
  <c r="F62" i="10"/>
  <c r="F31" i="15" s="1"/>
  <c r="F40" i="15" s="1"/>
  <c r="G62" i="10"/>
  <c r="G31" i="15" s="1"/>
  <c r="G40" i="15" s="1"/>
  <c r="H62" i="10"/>
  <c r="H31" i="15" s="1"/>
  <c r="H40" i="15" s="1"/>
  <c r="I62" i="10"/>
  <c r="I31" i="15" s="1"/>
  <c r="I40" i="15" s="1"/>
  <c r="J62" i="10"/>
  <c r="J31" i="15" s="1"/>
  <c r="J40" i="15" s="1"/>
  <c r="K62" i="10"/>
  <c r="K31" i="15" s="1"/>
  <c r="K40" i="15" s="1"/>
  <c r="L62" i="10"/>
  <c r="L31" i="15" s="1"/>
  <c r="L40" i="15" s="1"/>
  <c r="F61" i="10"/>
  <c r="G61" i="10"/>
  <c r="H61" i="10"/>
  <c r="I61" i="10"/>
  <c r="J61" i="10"/>
  <c r="K61" i="10"/>
  <c r="L61" i="10"/>
  <c r="F59" i="10"/>
  <c r="G59" i="10"/>
  <c r="H59" i="10"/>
  <c r="I59" i="10"/>
  <c r="J59" i="10"/>
  <c r="K59" i="10"/>
  <c r="L59" i="10"/>
  <c r="F58" i="10"/>
  <c r="F55" i="10"/>
  <c r="L54" i="10"/>
  <c r="F54" i="10"/>
  <c r="F51" i="10"/>
  <c r="F49" i="10"/>
  <c r="G49" i="10"/>
  <c r="H49" i="10"/>
  <c r="I49" i="10"/>
  <c r="J49" i="10"/>
  <c r="K49" i="10"/>
  <c r="L49" i="10"/>
  <c r="F48" i="10"/>
  <c r="F45" i="10"/>
  <c r="F44" i="10"/>
  <c r="F41" i="10"/>
  <c r="F39" i="10"/>
  <c r="G39" i="10"/>
  <c r="H39" i="10"/>
  <c r="I39" i="10"/>
  <c r="J39" i="10"/>
  <c r="K39" i="10"/>
  <c r="L39" i="10"/>
  <c r="F38" i="10"/>
  <c r="F35" i="10"/>
  <c r="F34" i="10"/>
  <c r="F31" i="10"/>
  <c r="F29" i="10"/>
  <c r="G29" i="10"/>
  <c r="H29" i="10"/>
  <c r="I29" i="10"/>
  <c r="J29" i="10"/>
  <c r="K29" i="10"/>
  <c r="L29" i="10"/>
  <c r="F28" i="10"/>
  <c r="F25" i="10"/>
  <c r="F24" i="10"/>
  <c r="F21" i="10"/>
  <c r="F19" i="10"/>
  <c r="G19" i="10"/>
  <c r="H19" i="10"/>
  <c r="I19" i="10"/>
  <c r="J19" i="10"/>
  <c r="K19" i="10"/>
  <c r="L19" i="10"/>
  <c r="F18" i="10"/>
  <c r="F15" i="10"/>
  <c r="F14" i="10"/>
  <c r="F11" i="10"/>
  <c r="E11" i="10"/>
  <c r="E14" i="10" s="1"/>
  <c r="E19" i="10" s="1"/>
  <c r="E15" i="10"/>
  <c r="E18" i="10"/>
  <c r="E21" i="10"/>
  <c r="E24" i="10" s="1"/>
  <c r="E25" i="10"/>
  <c r="F85" i="6"/>
  <c r="G85" i="6"/>
  <c r="H85" i="6"/>
  <c r="I85" i="6"/>
  <c r="J85" i="6"/>
  <c r="K85" i="6"/>
  <c r="L85" i="6"/>
  <c r="F79" i="6"/>
  <c r="G79" i="6"/>
  <c r="H79" i="6"/>
  <c r="I79" i="6"/>
  <c r="J79" i="6"/>
  <c r="K79" i="6"/>
  <c r="L79" i="6"/>
  <c r="F73" i="6"/>
  <c r="G73" i="6"/>
  <c r="H73" i="6"/>
  <c r="I73" i="6"/>
  <c r="J73" i="6"/>
  <c r="K73" i="6"/>
  <c r="L73" i="6"/>
  <c r="F67" i="6"/>
  <c r="G67" i="6"/>
  <c r="H67" i="6"/>
  <c r="I67" i="6"/>
  <c r="J67" i="6"/>
  <c r="K67" i="6"/>
  <c r="K8" i="6" s="1"/>
  <c r="K9" i="14" s="1"/>
  <c r="L67" i="6"/>
  <c r="F61" i="6"/>
  <c r="G61" i="6"/>
  <c r="H61" i="6"/>
  <c r="I61" i="6"/>
  <c r="J61" i="6"/>
  <c r="K61" i="6"/>
  <c r="L61" i="6"/>
  <c r="F55" i="6"/>
  <c r="G55" i="6"/>
  <c r="H55" i="6"/>
  <c r="I55" i="6"/>
  <c r="J55" i="6"/>
  <c r="K55" i="6"/>
  <c r="L55" i="6"/>
  <c r="F49" i="6"/>
  <c r="G49" i="6"/>
  <c r="H49" i="6"/>
  <c r="I49" i="6"/>
  <c r="J49" i="6"/>
  <c r="K49" i="6"/>
  <c r="L49" i="6"/>
  <c r="F43" i="6"/>
  <c r="G43" i="6"/>
  <c r="H43" i="6"/>
  <c r="I43" i="6"/>
  <c r="J43" i="6"/>
  <c r="K43" i="6"/>
  <c r="L43" i="6"/>
  <c r="F36" i="6"/>
  <c r="G36" i="6"/>
  <c r="H36" i="6"/>
  <c r="I36" i="6"/>
  <c r="J36" i="6"/>
  <c r="K36" i="6"/>
  <c r="L36" i="6"/>
  <c r="F29" i="6"/>
  <c r="F7" i="6" s="1"/>
  <c r="F8" i="14" s="1"/>
  <c r="G29" i="6"/>
  <c r="H29" i="6"/>
  <c r="I29" i="6"/>
  <c r="J29" i="6"/>
  <c r="K29" i="6"/>
  <c r="L29" i="6"/>
  <c r="F22" i="6"/>
  <c r="G22" i="6"/>
  <c r="H22" i="6"/>
  <c r="I22" i="6"/>
  <c r="J22" i="6"/>
  <c r="K22" i="6"/>
  <c r="L22" i="6"/>
  <c r="F15" i="6"/>
  <c r="G15" i="6"/>
  <c r="H15" i="6"/>
  <c r="I15" i="6"/>
  <c r="J15" i="6"/>
  <c r="K15" i="6"/>
  <c r="L15" i="6"/>
  <c r="F9" i="6"/>
  <c r="F10" i="14" s="1"/>
  <c r="G9" i="6"/>
  <c r="G10" i="14" s="1"/>
  <c r="H9" i="6"/>
  <c r="H10" i="14" s="1"/>
  <c r="I9" i="6"/>
  <c r="I10" i="14" s="1"/>
  <c r="J9" i="6"/>
  <c r="J10" i="14" s="1"/>
  <c r="K9" i="6"/>
  <c r="K10" i="14" s="1"/>
  <c r="L9" i="6"/>
  <c r="L10" i="14" s="1"/>
  <c r="F8" i="6"/>
  <c r="F9" i="14" s="1"/>
  <c r="G8" i="6"/>
  <c r="G9" i="14" s="1"/>
  <c r="H8" i="6"/>
  <c r="H9" i="14" s="1"/>
  <c r="I8" i="6"/>
  <c r="I9" i="14" s="1"/>
  <c r="J8" i="6"/>
  <c r="J9" i="14" s="1"/>
  <c r="L8" i="6"/>
  <c r="L9" i="14" s="1"/>
  <c r="H7" i="6"/>
  <c r="H8" i="14" s="1"/>
  <c r="I7" i="6"/>
  <c r="I8" i="14" s="1"/>
  <c r="J7" i="6"/>
  <c r="J8" i="14" s="1"/>
  <c r="K7" i="6"/>
  <c r="K8" i="14" s="1"/>
  <c r="L7" i="6"/>
  <c r="L8" i="14" s="1"/>
  <c r="H7" i="14" l="1"/>
  <c r="I9" i="15"/>
  <c r="H14" i="7"/>
  <c r="I12" i="14" s="1"/>
  <c r="K9" i="15"/>
  <c r="J14" i="7"/>
  <c r="K12" i="14" s="1"/>
  <c r="J9" i="15"/>
  <c r="I14" i="7"/>
  <c r="J12" i="14" s="1"/>
  <c r="G9" i="15"/>
  <c r="F14" i="7"/>
  <c r="G12" i="14" s="1"/>
  <c r="L9" i="15"/>
  <c r="K14" i="7"/>
  <c r="L12" i="14" s="1"/>
  <c r="H9" i="15"/>
  <c r="E14" i="7"/>
  <c r="F12" i="14" s="1"/>
  <c r="H14" i="14"/>
  <c r="H17" i="14" s="1"/>
  <c r="H22" i="14" s="1"/>
  <c r="H23" i="14" s="1"/>
  <c r="H24" i="14" s="1"/>
  <c r="F7" i="14"/>
  <c r="I7" i="14"/>
  <c r="L7" i="14"/>
  <c r="I51" i="15"/>
  <c r="K51" i="15"/>
  <c r="G51" i="15"/>
  <c r="K7" i="14"/>
  <c r="J7" i="14"/>
  <c r="H50" i="13"/>
  <c r="G50" i="13"/>
  <c r="F51" i="13"/>
  <c r="F50" i="13" s="1"/>
  <c r="J57" i="13"/>
  <c r="J50" i="13" s="1"/>
  <c r="I50" i="13"/>
  <c r="K50" i="13"/>
  <c r="G7" i="6"/>
  <c r="G8" i="14" s="1"/>
  <c r="G7" i="14" s="1"/>
  <c r="I6" i="6"/>
  <c r="H6" i="6"/>
  <c r="K6" i="6"/>
  <c r="J6" i="6"/>
  <c r="L20" i="15"/>
  <c r="K14" i="14" l="1"/>
  <c r="K17" i="14" s="1"/>
  <c r="K22" i="14" s="1"/>
  <c r="K23" i="14" s="1"/>
  <c r="K24" i="14" s="1"/>
  <c r="K46" i="13" s="1"/>
  <c r="I14" i="14"/>
  <c r="I17" i="14" s="1"/>
  <c r="I22" i="14" s="1"/>
  <c r="I23" i="14" s="1"/>
  <c r="I24" i="14" s="1"/>
  <c r="I8" i="15" s="1"/>
  <c r="I29" i="15" s="1"/>
  <c r="J14" i="14"/>
  <c r="J17" i="14" s="1"/>
  <c r="J22" i="14" s="1"/>
  <c r="J23" i="14" s="1"/>
  <c r="J24" i="14" s="1"/>
  <c r="J46" i="13" s="1"/>
  <c r="F14" i="14"/>
  <c r="F17" i="14" s="1"/>
  <c r="F22" i="14" s="1"/>
  <c r="F23" i="14" s="1"/>
  <c r="F24" i="14" s="1"/>
  <c r="G14" i="14"/>
  <c r="G17" i="14" s="1"/>
  <c r="G22" i="14" s="1"/>
  <c r="G23" i="14" s="1"/>
  <c r="G24" i="14" s="1"/>
  <c r="G8" i="15" s="1"/>
  <c r="G29" i="15" s="1"/>
  <c r="L14" i="14"/>
  <c r="L17" i="14" s="1"/>
  <c r="L22" i="14" s="1"/>
  <c r="L23" i="14" s="1"/>
  <c r="L24" i="14" s="1"/>
  <c r="L46" i="13" s="1"/>
  <c r="H46" i="13"/>
  <c r="H7" i="16"/>
  <c r="H8" i="15"/>
  <c r="H29" i="15" s="1"/>
  <c r="I46" i="13"/>
  <c r="I7" i="16"/>
  <c r="J13" i="25"/>
  <c r="K13" i="25"/>
  <c r="A9" i="29"/>
  <c r="B86" i="24"/>
  <c r="B85" i="24"/>
  <c r="B87" i="24"/>
  <c r="D62" i="10"/>
  <c r="C6" i="7"/>
  <c r="C32" i="7"/>
  <c r="D29" i="7"/>
  <c r="C29" i="7"/>
  <c r="D21" i="7"/>
  <c r="C21" i="7"/>
  <c r="E32" i="7"/>
  <c r="J32" i="7"/>
  <c r="K32" i="7"/>
  <c r="A32" i="7"/>
  <c r="B32" i="7"/>
  <c r="D32" i="7"/>
  <c r="D31" i="7"/>
  <c r="C31" i="7"/>
  <c r="A8" i="29"/>
  <c r="J7" i="16" l="1"/>
  <c r="L8" i="15"/>
  <c r="L7" i="16"/>
  <c r="G46" i="13"/>
  <c r="J8" i="15"/>
  <c r="J29" i="15" s="1"/>
  <c r="G7" i="16"/>
  <c r="K8" i="15"/>
  <c r="K29" i="15" s="1"/>
  <c r="K7" i="16"/>
  <c r="F7" i="16"/>
  <c r="F8" i="15"/>
  <c r="F29" i="15" s="1"/>
  <c r="F46" i="13"/>
  <c r="A7" i="29"/>
  <c r="G17" i="23"/>
  <c r="C3" i="7"/>
  <c r="C4" i="7" s="1"/>
  <c r="C9" i="25"/>
  <c r="C10" i="25" s="1"/>
  <c r="D4" i="6"/>
  <c r="D5" i="6" s="1"/>
  <c r="D3" i="10"/>
  <c r="D4" i="10" s="1"/>
  <c r="D28" i="12"/>
  <c r="D29" i="12" s="1"/>
  <c r="D14" i="12"/>
  <c r="D15" i="12" s="1"/>
  <c r="C4" i="16"/>
  <c r="D3" i="16"/>
  <c r="D5" i="15"/>
  <c r="D6" i="15" s="1"/>
  <c r="D5" i="14"/>
  <c r="D6" i="14" s="1"/>
  <c r="D5" i="13"/>
  <c r="D6" i="13" s="1"/>
  <c r="G22" i="23"/>
  <c r="D22" i="23"/>
  <c r="C19" i="23"/>
  <c r="E1" i="23"/>
  <c r="G19" i="23"/>
  <c r="E6" i="13" l="1"/>
  <c r="F6" i="13" s="1"/>
  <c r="D4" i="7"/>
  <c r="D10" i="25"/>
  <c r="E10" i="25" s="1"/>
  <c r="D4" i="16"/>
  <c r="E5" i="6"/>
  <c r="E4" i="10"/>
  <c r="F4" i="10" s="1"/>
  <c r="E29" i="12"/>
  <c r="F29" i="12" s="1"/>
  <c r="E15" i="12"/>
  <c r="E6" i="15"/>
  <c r="E6" i="14"/>
  <c r="B15" i="11"/>
  <c r="B14" i="11"/>
  <c r="B13" i="11"/>
  <c r="G18" i="23"/>
  <c r="G11" i="23"/>
  <c r="D84" i="6"/>
  <c r="D78" i="6"/>
  <c r="D72" i="6"/>
  <c r="D66" i="6"/>
  <c r="D60" i="6"/>
  <c r="D54" i="6"/>
  <c r="D48" i="6"/>
  <c r="D42" i="6"/>
  <c r="D35" i="6"/>
  <c r="D28" i="6"/>
  <c r="D21" i="6"/>
  <c r="D14" i="6"/>
  <c r="O8" i="16"/>
  <c r="O5" i="16"/>
  <c r="D59" i="13"/>
  <c r="D38" i="15"/>
  <c r="D53" i="13"/>
  <c r="E58" i="13"/>
  <c r="D58" i="13"/>
  <c r="C26" i="11"/>
  <c r="A9" i="23"/>
  <c r="B14" i="2"/>
  <c r="B15" i="2"/>
  <c r="B16" i="2"/>
  <c r="B17" i="2"/>
  <c r="B13" i="2"/>
  <c r="B12" i="2"/>
  <c r="B5" i="2"/>
  <c r="B6" i="2"/>
  <c r="B7" i="2"/>
  <c r="B8" i="2"/>
  <c r="B9" i="2"/>
  <c r="B10" i="2"/>
  <c r="B11" i="2"/>
  <c r="C83" i="11"/>
  <c r="C69" i="11"/>
  <c r="C55" i="11"/>
  <c r="C27" i="11"/>
  <c r="C41" i="11"/>
  <c r="C40" i="11"/>
  <c r="C54" i="11"/>
  <c r="C68" i="11"/>
  <c r="C82" i="11"/>
  <c r="H76" i="11"/>
  <c r="G29" i="12" l="1"/>
  <c r="H29" i="12" s="1"/>
  <c r="F15" i="12"/>
  <c r="G15" i="12" s="1"/>
  <c r="E4" i="7"/>
  <c r="F5" i="6"/>
  <c r="G5" i="6" s="1"/>
  <c r="F6" i="14"/>
  <c r="G6" i="14" s="1"/>
  <c r="G6" i="13"/>
  <c r="H6" i="13" s="1"/>
  <c r="E4" i="16"/>
  <c r="F4" i="16" s="1"/>
  <c r="F6" i="15"/>
  <c r="G4" i="10"/>
  <c r="H4" i="10" s="1"/>
  <c r="F10" i="25"/>
  <c r="G10" i="25" s="1"/>
  <c r="H10" i="25" s="1"/>
  <c r="I10" i="25" s="1"/>
  <c r="E27" i="15"/>
  <c r="E23" i="15"/>
  <c r="E15" i="15"/>
  <c r="E39" i="15"/>
  <c r="D39" i="15"/>
  <c r="E38" i="15"/>
  <c r="D37" i="15"/>
  <c r="E37" i="15"/>
  <c r="D10" i="15"/>
  <c r="E10" i="15"/>
  <c r="E21" i="14"/>
  <c r="E11" i="15" s="1"/>
  <c r="D21" i="14"/>
  <c r="D11" i="15" s="1"/>
  <c r="I29" i="12" l="1"/>
  <c r="H6" i="14"/>
  <c r="H5" i="6"/>
  <c r="I5" i="6" s="1"/>
  <c r="F4" i="7"/>
  <c r="J29" i="12"/>
  <c r="G6" i="15"/>
  <c r="H6" i="15" s="1"/>
  <c r="G4" i="16"/>
  <c r="I6" i="13"/>
  <c r="J6" i="13" s="1"/>
  <c r="K6" i="13" s="1"/>
  <c r="L6" i="13" s="1"/>
  <c r="H15" i="12"/>
  <c r="I15" i="12" s="1"/>
  <c r="J15" i="12" s="1"/>
  <c r="I4" i="10"/>
  <c r="J4" i="10" s="1"/>
  <c r="K4" i="10" s="1"/>
  <c r="L4" i="10" s="1"/>
  <c r="J10" i="25"/>
  <c r="K10" i="25" s="1"/>
  <c r="C13" i="6"/>
  <c r="K29" i="12" l="1"/>
  <c r="L29" i="12" s="1"/>
  <c r="H4" i="16"/>
  <c r="I4" i="16" s="1"/>
  <c r="J4" i="16" s="1"/>
  <c r="J5" i="6"/>
  <c r="K5" i="6" s="1"/>
  <c r="L5" i="6" s="1"/>
  <c r="K15" i="12"/>
  <c r="L15" i="12" s="1"/>
  <c r="I6" i="15"/>
  <c r="G4" i="7"/>
  <c r="I6" i="14"/>
  <c r="J6" i="14" s="1"/>
  <c r="K6" i="14" s="1"/>
  <c r="L6" i="14" s="1"/>
  <c r="E79" i="6"/>
  <c r="E73" i="6"/>
  <c r="Q86" i="6"/>
  <c r="Q85" i="6"/>
  <c r="Q84" i="6"/>
  <c r="Q83" i="6"/>
  <c r="R82" i="6"/>
  <c r="R83" i="6" s="1"/>
  <c r="Q82" i="6"/>
  <c r="R81" i="6"/>
  <c r="Q81" i="6"/>
  <c r="Q80" i="6"/>
  <c r="Q79" i="6"/>
  <c r="Q78" i="6"/>
  <c r="Q77" i="6"/>
  <c r="R76" i="6"/>
  <c r="Q76" i="6"/>
  <c r="R75" i="6"/>
  <c r="Q75" i="6"/>
  <c r="Q74" i="6"/>
  <c r="Q73" i="6"/>
  <c r="Q72" i="6"/>
  <c r="Q71" i="6"/>
  <c r="R70" i="6"/>
  <c r="R71" i="6" s="1"/>
  <c r="Q70" i="6"/>
  <c r="R69" i="6"/>
  <c r="Q69" i="6"/>
  <c r="Q68" i="6"/>
  <c r="Q67" i="6"/>
  <c r="Q66" i="6"/>
  <c r="Q65" i="6"/>
  <c r="R64" i="6"/>
  <c r="Q64" i="6"/>
  <c r="R63" i="6"/>
  <c r="Q63" i="6"/>
  <c r="Q62" i="6"/>
  <c r="Q61" i="6"/>
  <c r="Q60" i="6"/>
  <c r="Q59" i="6"/>
  <c r="R58" i="6"/>
  <c r="Q58" i="6"/>
  <c r="R57" i="6"/>
  <c r="Q57" i="6"/>
  <c r="Q56" i="6"/>
  <c r="Q55" i="6"/>
  <c r="Q54" i="6"/>
  <c r="Q53" i="6"/>
  <c r="R52" i="6"/>
  <c r="R53" i="6" s="1"/>
  <c r="Q52" i="6"/>
  <c r="R51" i="6"/>
  <c r="Q51" i="6"/>
  <c r="C48" i="6"/>
  <c r="C54" i="6"/>
  <c r="C60" i="6"/>
  <c r="C66" i="6"/>
  <c r="C78" i="6"/>
  <c r="C84" i="6"/>
  <c r="Q50" i="6"/>
  <c r="Q49" i="6"/>
  <c r="Q48" i="6"/>
  <c r="Q47" i="6"/>
  <c r="R46" i="6"/>
  <c r="R47" i="6" s="1"/>
  <c r="R48" i="6" s="1"/>
  <c r="Q46" i="6"/>
  <c r="R45" i="6"/>
  <c r="Q45" i="6"/>
  <c r="Q44" i="6"/>
  <c r="Q43" i="6"/>
  <c r="Q42" i="6"/>
  <c r="Q41" i="6"/>
  <c r="Q40" i="6"/>
  <c r="R39" i="6"/>
  <c r="R40" i="6" s="1"/>
  <c r="Q39" i="6"/>
  <c r="R38" i="6"/>
  <c r="Q38" i="6"/>
  <c r="Q37" i="6"/>
  <c r="Q36" i="6"/>
  <c r="Q35" i="6"/>
  <c r="Q34" i="6"/>
  <c r="Q33" i="6"/>
  <c r="R32" i="6"/>
  <c r="R33" i="6" s="1"/>
  <c r="R34" i="6" s="1"/>
  <c r="Q32" i="6"/>
  <c r="R31" i="6"/>
  <c r="Q31" i="6"/>
  <c r="Q30" i="6"/>
  <c r="Q29" i="6"/>
  <c r="Q28" i="6"/>
  <c r="Q27" i="6"/>
  <c r="Q26" i="6"/>
  <c r="R25" i="6"/>
  <c r="R26" i="6" s="1"/>
  <c r="R27" i="6" s="1"/>
  <c r="Q25" i="6"/>
  <c r="R24" i="6"/>
  <c r="Q24" i="6"/>
  <c r="Q23" i="6"/>
  <c r="Q22" i="6"/>
  <c r="Q21" i="6"/>
  <c r="Q20" i="6"/>
  <c r="Q19" i="6"/>
  <c r="R18" i="6"/>
  <c r="R19" i="6" s="1"/>
  <c r="R20" i="6" s="1"/>
  <c r="Q18" i="6"/>
  <c r="R17" i="6"/>
  <c r="Q17" i="6"/>
  <c r="C41" i="6"/>
  <c r="C42" i="6" s="1"/>
  <c r="C34" i="6"/>
  <c r="C35" i="6" s="1"/>
  <c r="C27" i="6"/>
  <c r="C28" i="6" s="1"/>
  <c r="C20" i="6"/>
  <c r="C21" i="6" s="1"/>
  <c r="P6" i="6"/>
  <c r="R7" i="6"/>
  <c r="R8" i="6" s="1"/>
  <c r="R9" i="6" s="1"/>
  <c r="R10" i="6"/>
  <c r="R11" i="6"/>
  <c r="R12" i="6" s="1"/>
  <c r="R13" i="6" s="1"/>
  <c r="R14" i="6" s="1"/>
  <c r="R15" i="6" s="1"/>
  <c r="R16" i="6" s="1"/>
  <c r="R6" i="6"/>
  <c r="Q7" i="6"/>
  <c r="Q8" i="6"/>
  <c r="Q9" i="6"/>
  <c r="Q10" i="6"/>
  <c r="Q11" i="6"/>
  <c r="Q12" i="6"/>
  <c r="Q13" i="6"/>
  <c r="Q14" i="6"/>
  <c r="Q15" i="6"/>
  <c r="Q16" i="6"/>
  <c r="Q6" i="6"/>
  <c r="C72" i="6"/>
  <c r="K4" i="16" l="1"/>
  <c r="L4" i="16" s="1"/>
  <c r="H4" i="7"/>
  <c r="I4" i="7" s="1"/>
  <c r="J6" i="15"/>
  <c r="P7" i="6"/>
  <c r="T6" i="6"/>
  <c r="E49" i="6"/>
  <c r="E85" i="6"/>
  <c r="E67" i="6"/>
  <c r="E61" i="6"/>
  <c r="E55" i="6"/>
  <c r="E43" i="6"/>
  <c r="E36" i="6"/>
  <c r="E29" i="6"/>
  <c r="E22" i="6"/>
  <c r="R84" i="6"/>
  <c r="R77" i="6"/>
  <c r="R72" i="6"/>
  <c r="R65" i="6"/>
  <c r="R59" i="6"/>
  <c r="R54" i="6"/>
  <c r="R49" i="6"/>
  <c r="R41" i="6"/>
  <c r="R35" i="6"/>
  <c r="R28" i="6"/>
  <c r="R21" i="6"/>
  <c r="A6" i="6"/>
  <c r="C14" i="11"/>
  <c r="I27" i="11"/>
  <c r="I83" i="11"/>
  <c r="I69" i="11"/>
  <c r="I55" i="11"/>
  <c r="H15" i="11"/>
  <c r="H12" i="11"/>
  <c r="J58" i="15" l="1"/>
  <c r="J47" i="15" s="1"/>
  <c r="J60" i="15" s="1"/>
  <c r="J62" i="15" s="1"/>
  <c r="F58" i="15"/>
  <c r="H58" i="15"/>
  <c r="G58" i="15"/>
  <c r="I58" i="15"/>
  <c r="I47" i="15" s="1"/>
  <c r="I60" i="15" s="1"/>
  <c r="I62" i="15" s="1"/>
  <c r="K6" i="15"/>
  <c r="J4" i="7"/>
  <c r="K4" i="7" s="1"/>
  <c r="P8" i="6"/>
  <c r="T7" i="6"/>
  <c r="F27" i="11"/>
  <c r="J32" i="11" s="1"/>
  <c r="E58" i="15"/>
  <c r="I41" i="11"/>
  <c r="R85" i="6"/>
  <c r="R78" i="6"/>
  <c r="R73" i="6"/>
  <c r="R66" i="6"/>
  <c r="R60" i="6"/>
  <c r="R55" i="6"/>
  <c r="R50" i="6"/>
  <c r="R42" i="6"/>
  <c r="R36" i="6"/>
  <c r="R29" i="6"/>
  <c r="R22" i="6"/>
  <c r="A7" i="6"/>
  <c r="H13" i="11"/>
  <c r="E13" i="25"/>
  <c r="F13" i="25"/>
  <c r="G13" i="25"/>
  <c r="H13" i="25"/>
  <c r="I13" i="25"/>
  <c r="D13" i="25"/>
  <c r="D6" i="7" s="1"/>
  <c r="C12" i="25"/>
  <c r="J5" i="16" l="1"/>
  <c r="G5" i="16"/>
  <c r="G47" i="15"/>
  <c r="G60" i="15" s="1"/>
  <c r="G62" i="15" s="1"/>
  <c r="H47" i="15"/>
  <c r="H60" i="15" s="1"/>
  <c r="H62" i="15" s="1"/>
  <c r="H5" i="16"/>
  <c r="I5" i="16"/>
  <c r="F47" i="15"/>
  <c r="F60" i="15" s="1"/>
  <c r="F62" i="15" s="1"/>
  <c r="F5" i="16"/>
  <c r="L6" i="15"/>
  <c r="L58" i="15" s="1"/>
  <c r="L47" i="15" s="1"/>
  <c r="L60" i="15" s="1"/>
  <c r="K58" i="15"/>
  <c r="P9" i="6"/>
  <c r="T8" i="6"/>
  <c r="F41" i="11"/>
  <c r="H32" i="11"/>
  <c r="R86" i="6"/>
  <c r="R79" i="6"/>
  <c r="R74" i="6"/>
  <c r="R67" i="6"/>
  <c r="R61" i="6"/>
  <c r="R56" i="6"/>
  <c r="R43" i="6"/>
  <c r="R37" i="6"/>
  <c r="R30" i="6"/>
  <c r="R23" i="6"/>
  <c r="A8" i="6"/>
  <c r="P5" i="12"/>
  <c r="O6" i="16"/>
  <c r="O7" i="16"/>
  <c r="K47" i="15" l="1"/>
  <c r="K60" i="15" s="1"/>
  <c r="K62" i="15" s="1"/>
  <c r="K5" i="16"/>
  <c r="P10" i="6"/>
  <c r="T9" i="6"/>
  <c r="J46" i="11"/>
  <c r="H46" i="11" s="1"/>
  <c r="F55" i="11"/>
  <c r="R80" i="6"/>
  <c r="R68" i="6"/>
  <c r="R62" i="6"/>
  <c r="R44" i="6"/>
  <c r="A9" i="6"/>
  <c r="E17" i="12"/>
  <c r="D61" i="10"/>
  <c r="D24" i="10"/>
  <c r="P11" i="6" l="1"/>
  <c r="A10" i="6"/>
  <c r="T10" i="6"/>
  <c r="J60" i="11"/>
  <c r="H60" i="11" s="1"/>
  <c r="E53" i="13"/>
  <c r="F69" i="11"/>
  <c r="F83" i="11" s="1"/>
  <c r="P12" i="6" l="1"/>
  <c r="T11" i="6"/>
  <c r="A11" i="6"/>
  <c r="J74" i="11"/>
  <c r="H74" i="11" s="1"/>
  <c r="J88" i="11"/>
  <c r="H88" i="11" s="1"/>
  <c r="F19" i="11"/>
  <c r="D11" i="11" s="1"/>
  <c r="E26" i="11"/>
  <c r="E55" i="15"/>
  <c r="D55" i="15"/>
  <c r="E54" i="15"/>
  <c r="D54" i="15"/>
  <c r="E52" i="15"/>
  <c r="D52" i="15"/>
  <c r="E49" i="15"/>
  <c r="E48" i="15" s="1"/>
  <c r="D49" i="15"/>
  <c r="D48" i="15" s="1"/>
  <c r="E28" i="15"/>
  <c r="E26" i="15"/>
  <c r="E25" i="15"/>
  <c r="E24" i="15"/>
  <c r="E21" i="15"/>
  <c r="E19" i="15"/>
  <c r="E18" i="15"/>
  <c r="E17" i="15"/>
  <c r="D57" i="13"/>
  <c r="D33" i="12"/>
  <c r="E18" i="12"/>
  <c r="D16" i="12"/>
  <c r="P11" i="12"/>
  <c r="E89" i="11"/>
  <c r="E82" i="11"/>
  <c r="D82" i="11"/>
  <c r="E75" i="11"/>
  <c r="E68" i="11"/>
  <c r="E19" i="11" s="1"/>
  <c r="C10" i="11" s="1"/>
  <c r="D68" i="11"/>
  <c r="E61" i="11"/>
  <c r="E54" i="11"/>
  <c r="D54" i="11"/>
  <c r="H48" i="11" s="1"/>
  <c r="E40" i="11"/>
  <c r="D40" i="11"/>
  <c r="H34" i="11" s="1"/>
  <c r="D26" i="11"/>
  <c r="H20" i="11" s="1"/>
  <c r="E67" i="10"/>
  <c r="D67" i="10"/>
  <c r="E66" i="10"/>
  <c r="D12" i="7" s="1"/>
  <c r="D66" i="10"/>
  <c r="D65" i="10"/>
  <c r="E63" i="10"/>
  <c r="D63" i="10"/>
  <c r="E62" i="10"/>
  <c r="D31" i="15"/>
  <c r="D40" i="15" s="1"/>
  <c r="D58" i="10"/>
  <c r="E55" i="10" s="1"/>
  <c r="E58" i="10" s="1"/>
  <c r="D54" i="10"/>
  <c r="D48" i="10"/>
  <c r="E45" i="10" s="1"/>
  <c r="E48" i="10" s="1"/>
  <c r="D44" i="10"/>
  <c r="E41" i="10" s="1"/>
  <c r="E44" i="10" s="1"/>
  <c r="D38" i="10"/>
  <c r="E35" i="10" s="1"/>
  <c r="E38" i="10" s="1"/>
  <c r="D34" i="10"/>
  <c r="E31" i="10" s="1"/>
  <c r="E34" i="10" s="1"/>
  <c r="G31" i="10" s="1"/>
  <c r="G34" i="10" s="1"/>
  <c r="D28" i="10"/>
  <c r="E28" i="10" s="1"/>
  <c r="G25" i="10" s="1"/>
  <c r="G28" i="10" s="1"/>
  <c r="G21" i="10"/>
  <c r="G24" i="10" s="1"/>
  <c r="D18" i="10"/>
  <c r="D14" i="10"/>
  <c r="D9" i="10"/>
  <c r="E6" i="10" s="1"/>
  <c r="E9" i="10" s="1"/>
  <c r="F6" i="10" s="1"/>
  <c r="F9" i="10" s="1"/>
  <c r="E42" i="15"/>
  <c r="D42" i="15"/>
  <c r="F28" i="13"/>
  <c r="E28" i="13"/>
  <c r="D28" i="13"/>
  <c r="F21" i="13"/>
  <c r="E21" i="13"/>
  <c r="D21" i="13"/>
  <c r="E9" i="6"/>
  <c r="D9" i="6"/>
  <c r="E15" i="6"/>
  <c r="C14" i="6"/>
  <c r="F11" i="13" l="1"/>
  <c r="F10" i="13" s="1"/>
  <c r="F8" i="13" s="1"/>
  <c r="F69" i="10"/>
  <c r="G55" i="10"/>
  <c r="G58" i="10" s="1"/>
  <c r="H55" i="10" s="1"/>
  <c r="H58" i="10" s="1"/>
  <c r="I55" i="10" s="1"/>
  <c r="I58" i="10" s="1"/>
  <c r="J55" i="10" s="1"/>
  <c r="J58" i="10" s="1"/>
  <c r="G45" i="10"/>
  <c r="G48" i="10" s="1"/>
  <c r="D23" i="12"/>
  <c r="E16" i="12" s="1"/>
  <c r="E23" i="12" s="1"/>
  <c r="E11" i="13"/>
  <c r="D11" i="13"/>
  <c r="D59" i="10"/>
  <c r="D9" i="13" s="1"/>
  <c r="P13" i="6"/>
  <c r="T12" i="6"/>
  <c r="A12" i="6"/>
  <c r="E15" i="14"/>
  <c r="D15" i="14"/>
  <c r="R11" i="12"/>
  <c r="E59" i="13"/>
  <c r="E57" i="13" s="1"/>
  <c r="D10" i="14"/>
  <c r="E10" i="14"/>
  <c r="E16" i="14"/>
  <c r="E16" i="15"/>
  <c r="H62" i="11"/>
  <c r="D19" i="11"/>
  <c r="D14" i="7"/>
  <c r="E31" i="15"/>
  <c r="E40" i="15" s="1"/>
  <c r="E30" i="12"/>
  <c r="E33" i="12" s="1"/>
  <c r="D52" i="13"/>
  <c r="E22" i="15"/>
  <c r="E20" i="15"/>
  <c r="E51" i="15"/>
  <c r="C12" i="7"/>
  <c r="C14" i="7" s="1"/>
  <c r="E7" i="6"/>
  <c r="E51" i="10"/>
  <c r="E54" i="10" s="1"/>
  <c r="E59" i="10" s="1"/>
  <c r="D68" i="10"/>
  <c r="D29" i="10"/>
  <c r="D13" i="13" s="1"/>
  <c r="D64" i="10"/>
  <c r="E29" i="10"/>
  <c r="D39" i="10"/>
  <c r="D14" i="13" s="1"/>
  <c r="C8" i="11"/>
  <c r="D16" i="14"/>
  <c r="D8" i="6"/>
  <c r="E8" i="6"/>
  <c r="D7" i="6"/>
  <c r="D51" i="15"/>
  <c r="D47" i="15" s="1"/>
  <c r="D60" i="15" s="1"/>
  <c r="E9" i="15"/>
  <c r="E39" i="10"/>
  <c r="E14" i="13" s="1"/>
  <c r="E49" i="10"/>
  <c r="G41" i="10"/>
  <c r="G44" i="10" s="1"/>
  <c r="D19" i="10"/>
  <c r="D49" i="10"/>
  <c r="D15" i="13" s="1"/>
  <c r="G16" i="12" l="1"/>
  <c r="G23" i="12" s="1"/>
  <c r="K55" i="10"/>
  <c r="K58" i="10" s="1"/>
  <c r="H45" i="10"/>
  <c r="H48" i="10" s="1"/>
  <c r="I45" i="10" s="1"/>
  <c r="I48" i="10" s="1"/>
  <c r="J45" i="10" s="1"/>
  <c r="J48" i="10" s="1"/>
  <c r="G35" i="10"/>
  <c r="G38" i="10" s="1"/>
  <c r="H31" i="10"/>
  <c r="H34" i="10" s="1"/>
  <c r="I31" i="10" s="1"/>
  <c r="I34" i="10" s="1"/>
  <c r="J31" i="10" s="1"/>
  <c r="J34" i="10" s="1"/>
  <c r="K31" i="10" s="1"/>
  <c r="H25" i="10"/>
  <c r="H28" i="10" s="1"/>
  <c r="I25" i="10" s="1"/>
  <c r="I28" i="10" s="1"/>
  <c r="J25" i="10" s="1"/>
  <c r="J28" i="10" s="1"/>
  <c r="K25" i="10" s="1"/>
  <c r="H21" i="10"/>
  <c r="H24" i="10" s="1"/>
  <c r="I21" i="10" s="1"/>
  <c r="I24" i="10" s="1"/>
  <c r="J21" i="10" s="1"/>
  <c r="J24" i="10" s="1"/>
  <c r="K21" i="10" s="1"/>
  <c r="K24" i="10" s="1"/>
  <c r="L21" i="10" s="1"/>
  <c r="L24" i="10" s="1"/>
  <c r="G6" i="10"/>
  <c r="G9" i="10" s="1"/>
  <c r="G51" i="10"/>
  <c r="G54" i="10" s="1"/>
  <c r="G6" i="6"/>
  <c r="L6" i="6"/>
  <c r="F6" i="6"/>
  <c r="P14" i="6"/>
  <c r="A13" i="6"/>
  <c r="T13" i="6"/>
  <c r="D51" i="13"/>
  <c r="D50" i="13" s="1"/>
  <c r="E52" i="13"/>
  <c r="E51" i="13" s="1"/>
  <c r="E50" i="13" s="1"/>
  <c r="E13" i="13"/>
  <c r="E8" i="14"/>
  <c r="E9" i="14"/>
  <c r="D9" i="14"/>
  <c r="E12" i="14"/>
  <c r="D69" i="10"/>
  <c r="D9" i="15"/>
  <c r="D6" i="6"/>
  <c r="C24" i="23" s="1" a="1"/>
  <c r="C24" i="23" s="1"/>
  <c r="E61" i="10"/>
  <c r="D12" i="13"/>
  <c r="D10" i="13" s="1"/>
  <c r="D8" i="13" s="1"/>
  <c r="C6" i="11"/>
  <c r="E47" i="11"/>
  <c r="D8" i="14"/>
  <c r="E6" i="6"/>
  <c r="E65" i="10"/>
  <c r="G11" i="13" l="1"/>
  <c r="G10" i="13" s="1"/>
  <c r="G8" i="13" s="1"/>
  <c r="G69" i="10"/>
  <c r="H6" i="10"/>
  <c r="H9" i="10" s="1"/>
  <c r="G30" i="12"/>
  <c r="G33" i="12" s="1"/>
  <c r="H16" i="12"/>
  <c r="H23" i="12" s="1"/>
  <c r="I16" i="12" s="1"/>
  <c r="I23" i="12" s="1"/>
  <c r="J16" i="12" s="1"/>
  <c r="J23" i="12" s="1"/>
  <c r="L55" i="10"/>
  <c r="L58" i="10" s="1"/>
  <c r="K51" i="10"/>
  <c r="K54" i="10" s="1"/>
  <c r="L51" i="10" s="1"/>
  <c r="H51" i="10"/>
  <c r="H54" i="10" s="1"/>
  <c r="I51" i="10" s="1"/>
  <c r="I54" i="10" s="1"/>
  <c r="J51" i="10" s="1"/>
  <c r="J54" i="10" s="1"/>
  <c r="K45" i="10"/>
  <c r="K48" i="10" s="1"/>
  <c r="H41" i="10"/>
  <c r="H44" i="10" s="1"/>
  <c r="I41" i="10" s="1"/>
  <c r="I44" i="10" s="1"/>
  <c r="J41" i="10" s="1"/>
  <c r="J44" i="10" s="1"/>
  <c r="K41" i="10" s="1"/>
  <c r="K44" i="10" s="1"/>
  <c r="L41" i="10" s="1"/>
  <c r="L44" i="10" s="1"/>
  <c r="H35" i="10"/>
  <c r="H38" i="10" s="1"/>
  <c r="I35" i="10" s="1"/>
  <c r="I38" i="10" s="1"/>
  <c r="J35" i="10" s="1"/>
  <c r="J38" i="10" s="1"/>
  <c r="K34" i="10"/>
  <c r="K28" i="10"/>
  <c r="L25" i="10" s="1"/>
  <c r="L28" i="10" s="1"/>
  <c r="P15" i="6"/>
  <c r="A14" i="6"/>
  <c r="T14" i="6"/>
  <c r="D12" i="14"/>
  <c r="D7" i="14"/>
  <c r="E64" i="10"/>
  <c r="E68" i="10"/>
  <c r="I6" i="10" l="1"/>
  <c r="I9" i="10" s="1"/>
  <c r="H69" i="10"/>
  <c r="H11" i="13"/>
  <c r="H10" i="13" s="1"/>
  <c r="H8" i="13" s="1"/>
  <c r="H30" i="12"/>
  <c r="H33" i="12" s="1"/>
  <c r="I30" i="12" s="1"/>
  <c r="I33" i="12" s="1"/>
  <c r="J30" i="12" s="1"/>
  <c r="J33" i="12" s="1"/>
  <c r="K16" i="12"/>
  <c r="L45" i="10"/>
  <c r="K35" i="10"/>
  <c r="K38" i="10" s="1"/>
  <c r="L31" i="10"/>
  <c r="L34" i="10" s="1"/>
  <c r="L29" i="15"/>
  <c r="P16" i="6"/>
  <c r="A15" i="6"/>
  <c r="T15" i="6"/>
  <c r="E69" i="10"/>
  <c r="G11" i="10"/>
  <c r="G14" i="10" s="1"/>
  <c r="E10" i="13"/>
  <c r="E8" i="13" s="1"/>
  <c r="G15" i="10"/>
  <c r="G18" i="10" s="1"/>
  <c r="J6" i="10" l="1"/>
  <c r="J9" i="10" s="1"/>
  <c r="I11" i="13"/>
  <c r="I10" i="13" s="1"/>
  <c r="I8" i="13" s="1"/>
  <c r="I69" i="10"/>
  <c r="L5" i="16"/>
  <c r="L62" i="15"/>
  <c r="K30" i="12"/>
  <c r="K33" i="12" s="1"/>
  <c r="K23" i="12"/>
  <c r="L16" i="12" s="1"/>
  <c r="L23" i="12" s="1"/>
  <c r="L48" i="10"/>
  <c r="L35" i="10"/>
  <c r="P17" i="6"/>
  <c r="T16" i="6"/>
  <c r="A16" i="6"/>
  <c r="J11" i="13" l="1"/>
  <c r="J10" i="13" s="1"/>
  <c r="J8" i="13" s="1"/>
  <c r="J69" i="10"/>
  <c r="K6" i="10"/>
  <c r="K9" i="10" s="1"/>
  <c r="L30" i="12"/>
  <c r="L38" i="10"/>
  <c r="P18" i="6"/>
  <c r="T17" i="6"/>
  <c r="A17" i="6"/>
  <c r="H11" i="10"/>
  <c r="H14" i="10" s="1"/>
  <c r="I11" i="10" s="1"/>
  <c r="I14" i="10" s="1"/>
  <c r="J11" i="10" s="1"/>
  <c r="J14" i="10" s="1"/>
  <c r="H15" i="10"/>
  <c r="H18" i="10" s="1"/>
  <c r="I15" i="10" s="1"/>
  <c r="I18" i="10" s="1"/>
  <c r="J15" i="10" s="1"/>
  <c r="J18" i="10" s="1"/>
  <c r="K69" i="10" l="1"/>
  <c r="K11" i="13"/>
  <c r="K10" i="13" s="1"/>
  <c r="K8" i="13" s="1"/>
  <c r="L6" i="10"/>
  <c r="L9" i="10" s="1"/>
  <c r="L33" i="12"/>
  <c r="K11" i="10"/>
  <c r="K14" i="10" s="1"/>
  <c r="K15" i="10"/>
  <c r="K18" i="10" s="1"/>
  <c r="P19" i="6"/>
  <c r="T18" i="6"/>
  <c r="A18" i="6"/>
  <c r="L11" i="13" l="1"/>
  <c r="L10" i="13" s="1"/>
  <c r="L8" i="13" s="1"/>
  <c r="L69" i="10"/>
  <c r="P20" i="6"/>
  <c r="T19" i="6"/>
  <c r="A19" i="6"/>
  <c r="L15" i="10" l="1"/>
  <c r="L18" i="10" s="1"/>
  <c r="L11" i="10"/>
  <c r="L14" i="10" s="1"/>
  <c r="P21" i="6"/>
  <c r="T20" i="6"/>
  <c r="A20" i="6"/>
  <c r="P22" i="6" l="1"/>
  <c r="A21" i="6"/>
  <c r="T21" i="6"/>
  <c r="P23" i="6" l="1"/>
  <c r="A22" i="6"/>
  <c r="T22" i="6"/>
  <c r="P24" i="6" l="1"/>
  <c r="A23" i="6"/>
  <c r="T23" i="6"/>
  <c r="P25" i="6" l="1"/>
  <c r="T24" i="6"/>
  <c r="A24" i="6"/>
  <c r="T25" i="6" l="1"/>
  <c r="A25" i="6"/>
  <c r="P26" i="6"/>
  <c r="P27" i="6" l="1"/>
  <c r="T26" i="6"/>
  <c r="A26" i="6"/>
  <c r="P28" i="6" l="1"/>
  <c r="T27" i="6"/>
  <c r="A27" i="6"/>
  <c r="P29" i="6" l="1"/>
  <c r="T28" i="6"/>
  <c r="A28" i="6"/>
  <c r="P30" i="6" l="1"/>
  <c r="T29" i="6"/>
  <c r="A29" i="6"/>
  <c r="D14" i="14"/>
  <c r="P31" i="6" l="1"/>
  <c r="A30" i="6"/>
  <c r="T30" i="6"/>
  <c r="D17" i="14"/>
  <c r="D22" i="14" s="1"/>
  <c r="P32" i="6" l="1"/>
  <c r="A31" i="6"/>
  <c r="T31" i="6"/>
  <c r="D24" i="14"/>
  <c r="D46" i="13" s="1"/>
  <c r="D45" i="13" s="1"/>
  <c r="D26" i="14"/>
  <c r="A32" i="6" l="1"/>
  <c r="T32" i="6"/>
  <c r="P33" i="6"/>
  <c r="E47" i="13"/>
  <c r="D7" i="16"/>
  <c r="D8" i="15"/>
  <c r="D29" i="15" s="1"/>
  <c r="A33" i="6" l="1"/>
  <c r="T33" i="6"/>
  <c r="P34" i="6"/>
  <c r="D5" i="16"/>
  <c r="D62" i="15"/>
  <c r="D64" i="15" s="1"/>
  <c r="T34" i="6" l="1"/>
  <c r="A34" i="6"/>
  <c r="P35" i="6"/>
  <c r="T35" i="6" l="1"/>
  <c r="A35" i="6"/>
  <c r="P36" i="6"/>
  <c r="T36" i="6" l="1"/>
  <c r="A36" i="6"/>
  <c r="P37" i="6"/>
  <c r="A37" i="6" l="1"/>
  <c r="T37" i="6"/>
  <c r="P38" i="6"/>
  <c r="A38" i="6" l="1"/>
  <c r="T38" i="6"/>
  <c r="P39" i="6"/>
  <c r="A39" i="6" l="1"/>
  <c r="T39" i="6"/>
  <c r="P40" i="6"/>
  <c r="T40" i="6" l="1"/>
  <c r="A40" i="6"/>
  <c r="P41" i="6"/>
  <c r="T41" i="6" l="1"/>
  <c r="A41" i="6"/>
  <c r="P42" i="6"/>
  <c r="E7" i="14"/>
  <c r="E14" i="14" s="1"/>
  <c r="T42" i="6" l="1"/>
  <c r="A42" i="6"/>
  <c r="P43" i="6"/>
  <c r="E17" i="14"/>
  <c r="E22" i="14" s="1"/>
  <c r="E23" i="14" s="1"/>
  <c r="E24" i="14" s="1"/>
  <c r="E46" i="13" l="1"/>
  <c r="E45" i="13" s="1"/>
  <c r="E7" i="16"/>
  <c r="T43" i="6"/>
  <c r="A43" i="6"/>
  <c r="P44" i="6"/>
  <c r="E8" i="15"/>
  <c r="E29" i="15" s="1"/>
  <c r="E5" i="16" s="1"/>
  <c r="F47" i="13" l="1"/>
  <c r="T44" i="6"/>
  <c r="A44" i="6"/>
  <c r="P45" i="6"/>
  <c r="F45" i="13" l="1"/>
  <c r="G47" i="13" s="1"/>
  <c r="G45" i="13" s="1"/>
  <c r="H47" i="13" s="1"/>
  <c r="H45" i="13" s="1"/>
  <c r="I47" i="13" s="1"/>
  <c r="T45" i="6"/>
  <c r="A45" i="6"/>
  <c r="P46" i="6"/>
  <c r="I45" i="13" l="1"/>
  <c r="J47" i="13" s="1"/>
  <c r="J45" i="13" s="1"/>
  <c r="A46" i="6"/>
  <c r="T46" i="6"/>
  <c r="P47" i="6"/>
  <c r="K47" i="13" l="1"/>
  <c r="K45" i="13" s="1"/>
  <c r="A47" i="6"/>
  <c r="T47" i="6"/>
  <c r="P48" i="6"/>
  <c r="L47" i="13" l="1"/>
  <c r="L45" i="13" s="1"/>
  <c r="A48" i="6"/>
  <c r="T48" i="6"/>
  <c r="P49" i="6"/>
  <c r="T49" i="6" l="1"/>
  <c r="A49" i="6"/>
  <c r="P50" i="6"/>
  <c r="T50" i="6" l="1"/>
  <c r="A50" i="6"/>
  <c r="P51" i="6"/>
  <c r="T51" i="6" l="1"/>
  <c r="A51" i="6"/>
  <c r="P52" i="6"/>
  <c r="T52" i="6" l="1"/>
  <c r="A52" i="6"/>
  <c r="P53" i="6"/>
  <c r="A53" i="6" l="1"/>
  <c r="T53" i="6"/>
  <c r="P54" i="6"/>
  <c r="A54" i="6" l="1"/>
  <c r="T54" i="6"/>
  <c r="P55" i="6"/>
  <c r="A55" i="6" l="1"/>
  <c r="T55" i="6"/>
  <c r="P56" i="6"/>
  <c r="A56" i="6" l="1"/>
  <c r="T56" i="6"/>
  <c r="P57" i="6"/>
  <c r="A57" i="6" l="1"/>
  <c r="T57" i="6"/>
  <c r="P58" i="6"/>
  <c r="T58" i="6" l="1"/>
  <c r="A58" i="6"/>
  <c r="P59" i="6"/>
  <c r="E48" i="13"/>
  <c r="F48" i="13" s="1"/>
  <c r="G48" i="13" s="1"/>
  <c r="H48" i="13" s="1"/>
  <c r="I48" i="13" s="1"/>
  <c r="J48" i="13" s="1"/>
  <c r="K48" i="13" s="1"/>
  <c r="L48" i="13" s="1"/>
  <c r="E47" i="15"/>
  <c r="T59" i="6" l="1"/>
  <c r="A59" i="6"/>
  <c r="P60" i="6"/>
  <c r="E60" i="15"/>
  <c r="E62" i="15" s="1"/>
  <c r="T60" i="6" l="1"/>
  <c r="A60" i="6"/>
  <c r="P61" i="6"/>
  <c r="T61" i="6" l="1"/>
  <c r="A61" i="6"/>
  <c r="P62" i="6"/>
  <c r="A62" i="6" l="1"/>
  <c r="T62" i="6"/>
  <c r="P63" i="6"/>
  <c r="A63" i="6" l="1"/>
  <c r="T63" i="6"/>
  <c r="P64" i="6"/>
  <c r="A64" i="6" l="1"/>
  <c r="T64" i="6"/>
  <c r="P65" i="6"/>
  <c r="N48" i="13"/>
  <c r="T65" i="6" l="1"/>
  <c r="A65" i="6"/>
  <c r="P66" i="6"/>
  <c r="E33" i="11"/>
  <c r="C7" i="11"/>
  <c r="T66" i="6" l="1"/>
  <c r="A66" i="6"/>
  <c r="P67" i="6"/>
  <c r="C5" i="11"/>
  <c r="K2" i="10" l="1"/>
  <c r="J2" i="10"/>
  <c r="L2" i="10"/>
  <c r="T67" i="6"/>
  <c r="A67" i="6"/>
  <c r="P68" i="6"/>
  <c r="C9" i="11"/>
  <c r="A68" i="6" l="1"/>
  <c r="T68" i="6"/>
  <c r="P69" i="6"/>
  <c r="D2" i="10"/>
  <c r="F2" i="10"/>
  <c r="G2" i="10"/>
  <c r="E2" i="10"/>
  <c r="A69" i="6" l="1"/>
  <c r="T69" i="6"/>
  <c r="P70" i="6"/>
  <c r="N2" i="10"/>
  <c r="N3" i="10"/>
  <c r="A70" i="6" l="1"/>
  <c r="T70" i="6"/>
  <c r="P71" i="6"/>
  <c r="D20" i="13"/>
  <c r="D34" i="13" s="1"/>
  <c r="D39" i="13" s="1"/>
  <c r="A71" i="6" l="1"/>
  <c r="T71" i="6"/>
  <c r="P72" i="6"/>
  <c r="D6" i="16"/>
  <c r="E63" i="15"/>
  <c r="E64" i="15" s="1"/>
  <c r="F63" i="15" s="1"/>
  <c r="F64" i="15" s="1"/>
  <c r="N33" i="13"/>
  <c r="N65" i="15"/>
  <c r="D8" i="16"/>
  <c r="A72" i="6" l="1"/>
  <c r="T72" i="6"/>
  <c r="P73" i="6"/>
  <c r="E39" i="13"/>
  <c r="F39" i="13" s="1"/>
  <c r="G39" i="13" s="1"/>
  <c r="H39" i="13" s="1"/>
  <c r="I39" i="13" s="1"/>
  <c r="J39" i="13" s="1"/>
  <c r="K39" i="13" s="1"/>
  <c r="L39" i="13" s="1"/>
  <c r="D38" i="13"/>
  <c r="D37" i="13" s="1"/>
  <c r="D66" i="13" s="1"/>
  <c r="D2" i="13" s="1"/>
  <c r="E32" i="13"/>
  <c r="G63" i="15" l="1"/>
  <c r="G64" i="15" s="1"/>
  <c r="G38" i="13"/>
  <c r="G37" i="13" s="1"/>
  <c r="G66" i="13" s="1"/>
  <c r="T73" i="6"/>
  <c r="A73" i="6"/>
  <c r="P74" i="6"/>
  <c r="E38" i="13"/>
  <c r="D2" i="15"/>
  <c r="D2" i="14"/>
  <c r="F32" i="13"/>
  <c r="F20" i="13" s="1"/>
  <c r="E20" i="13"/>
  <c r="F34" i="13" l="1"/>
  <c r="F6" i="16" s="1"/>
  <c r="F8" i="16"/>
  <c r="H63" i="15"/>
  <c r="H64" i="15" s="1"/>
  <c r="G32" i="13"/>
  <c r="G20" i="13" s="1"/>
  <c r="H38" i="13"/>
  <c r="H37" i="13" s="1"/>
  <c r="H66" i="13" s="1"/>
  <c r="T74" i="6"/>
  <c r="A74" i="6"/>
  <c r="P75" i="6"/>
  <c r="E37" i="13"/>
  <c r="E66" i="13" s="1"/>
  <c r="E34" i="13"/>
  <c r="E8" i="16"/>
  <c r="F38" i="13"/>
  <c r="I63" i="15" l="1"/>
  <c r="I64" i="15" s="1"/>
  <c r="H32" i="13"/>
  <c r="H20" i="13" s="1"/>
  <c r="H34" i="13" s="1"/>
  <c r="H6" i="16" s="1"/>
  <c r="G34" i="13"/>
  <c r="G2" i="13" s="1"/>
  <c r="G2" i="15" s="1"/>
  <c r="G8" i="16"/>
  <c r="H8" i="16"/>
  <c r="E6" i="16"/>
  <c r="E2" i="13"/>
  <c r="I38" i="13"/>
  <c r="I37" i="13" s="1"/>
  <c r="I66" i="13" s="1"/>
  <c r="T75" i="6"/>
  <c r="A75" i="6"/>
  <c r="P76" i="6"/>
  <c r="F37" i="13"/>
  <c r="G6" i="16" l="1"/>
  <c r="J63" i="15"/>
  <c r="J64" i="15" s="1"/>
  <c r="I32" i="13"/>
  <c r="I20" i="13" s="1"/>
  <c r="I34" i="13" s="1"/>
  <c r="I6" i="16" s="1"/>
  <c r="H2" i="13"/>
  <c r="H2" i="15" s="1"/>
  <c r="G2" i="14"/>
  <c r="I8" i="16"/>
  <c r="H2" i="14"/>
  <c r="F66" i="13"/>
  <c r="J38" i="13"/>
  <c r="J37" i="13" s="1"/>
  <c r="J66" i="13" s="1"/>
  <c r="T76" i="6"/>
  <c r="A76" i="6"/>
  <c r="P77" i="6"/>
  <c r="E2" i="14"/>
  <c r="E2" i="15"/>
  <c r="K63" i="15" l="1"/>
  <c r="K64" i="15" s="1"/>
  <c r="J32" i="13"/>
  <c r="I2" i="13"/>
  <c r="I2" i="15" s="1"/>
  <c r="F2" i="13"/>
  <c r="F2" i="15" s="1"/>
  <c r="L38" i="13"/>
  <c r="L37" i="13" s="1"/>
  <c r="L66" i="13" s="1"/>
  <c r="K38" i="13"/>
  <c r="K37" i="13" s="1"/>
  <c r="T77" i="6"/>
  <c r="A77" i="6"/>
  <c r="P78" i="6"/>
  <c r="K32" i="13" l="1"/>
  <c r="K20" i="13" s="1"/>
  <c r="L63" i="15"/>
  <c r="L64" i="15" s="1"/>
  <c r="I2" i="14"/>
  <c r="F2" i="14"/>
  <c r="K66" i="13"/>
  <c r="A78" i="6"/>
  <c r="T78" i="6"/>
  <c r="P79" i="6"/>
  <c r="J20" i="13" l="1"/>
  <c r="L32" i="13"/>
  <c r="K8" i="16"/>
  <c r="K34" i="13"/>
  <c r="K6" i="16" s="1"/>
  <c r="A79" i="6"/>
  <c r="T79" i="6"/>
  <c r="P80" i="6"/>
  <c r="N64" i="15"/>
  <c r="L20" i="13" s="1"/>
  <c r="K2" i="13" l="1"/>
  <c r="K2" i="15" s="1"/>
  <c r="J8" i="16"/>
  <c r="J34" i="13"/>
  <c r="L34" i="13"/>
  <c r="L8" i="16"/>
  <c r="K2" i="14"/>
  <c r="A80" i="6"/>
  <c r="T80" i="6"/>
  <c r="P81" i="6"/>
  <c r="N32" i="13"/>
  <c r="J6" i="16" l="1"/>
  <c r="J2" i="13"/>
  <c r="L2" i="13"/>
  <c r="L2" i="15" s="1"/>
  <c r="L6" i="16"/>
  <c r="A81" i="6"/>
  <c r="T81" i="6"/>
  <c r="P82" i="6"/>
  <c r="J2" i="15" l="1"/>
  <c r="J2" i="14"/>
  <c r="L2" i="14"/>
  <c r="A82" i="6"/>
  <c r="T82" i="6"/>
  <c r="P83" i="6"/>
  <c r="T83" i="6" l="1"/>
  <c r="A83" i="6"/>
  <c r="P84" i="6"/>
  <c r="N2" i="14"/>
  <c r="N2" i="15"/>
  <c r="N2" i="13"/>
  <c r="T84" i="6" l="1"/>
  <c r="A84" i="6"/>
  <c r="P85" i="6"/>
  <c r="T85" i="6" l="1"/>
  <c r="A85" i="6"/>
  <c r="P86" i="6"/>
  <c r="A86" i="6" l="1"/>
  <c r="T86"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<sst xmlns="http://schemas.openxmlformats.org/spreadsheetml/2006/main" count="1452" uniqueCount="987">
  <si>
    <t>1.</t>
  </si>
  <si>
    <t>1.1.</t>
  </si>
  <si>
    <t>1.1.1.</t>
  </si>
  <si>
    <t>1.2.</t>
  </si>
  <si>
    <t>1.2.3.</t>
  </si>
  <si>
    <t>TURINYS</t>
  </si>
  <si>
    <t>INFORMACIJA APIE ŪKIO SUBJEKTO EKONOMINIO GYVYBINGUMO RODIKLIUS</t>
  </si>
  <si>
    <t>2.</t>
  </si>
  <si>
    <t>3.</t>
  </si>
  <si>
    <t>5.</t>
  </si>
  <si>
    <t>Reikšmės</t>
  </si>
  <si>
    <t>Matavimo vnt.</t>
  </si>
  <si>
    <t>Prognoziniai metai</t>
  </si>
  <si>
    <t>5.1</t>
  </si>
  <si>
    <t>Pajamos iš viso</t>
  </si>
  <si>
    <t>Eur</t>
  </si>
  <si>
    <t>5.2</t>
  </si>
  <si>
    <t>Pagamintas kiekis</t>
  </si>
  <si>
    <t>Parduotas kiekis</t>
  </si>
  <si>
    <t>Vidutinė kaina</t>
  </si>
  <si>
    <t>vnt.</t>
  </si>
  <si>
    <t>6.</t>
  </si>
  <si>
    <t>Eil. Nr.</t>
  </si>
  <si>
    <t>Sąnaudos</t>
  </si>
  <si>
    <t>Pardavimo savikaina:</t>
  </si>
  <si>
    <t>Darbo užmokesčio sąnaudos</t>
  </si>
  <si>
    <t>Priskaičiuotas ilgalaikio turto nusidėvėjimas</t>
  </si>
  <si>
    <t>ES paramos amortizacija (rašoma su neigiamu ženklu)</t>
  </si>
  <si>
    <t>Pardavimo savikaina iš viso</t>
  </si>
  <si>
    <t>Pardavimo sąnaudos:</t>
  </si>
  <si>
    <t>Pardavimo sąnaudos iš viso</t>
  </si>
  <si>
    <t>Bendrosios ir administracinės sąnaudos, iš jų:</t>
  </si>
  <si>
    <t>Negamybinės paskirties ilgalaikio turto nusidėvėjimo sąnaudos</t>
  </si>
  <si>
    <t>Bendrosios ir administracinės sąnaudos iš viso</t>
  </si>
  <si>
    <t>7.</t>
  </si>
  <si>
    <t>Eil.
Nr.</t>
  </si>
  <si>
    <t>8.</t>
  </si>
  <si>
    <t>Iš viso</t>
  </si>
  <si>
    <t xml:space="preserve">INFORMACIJA APIE PAJAMAS, PRODUKTŲ IR PASLAUGŲ PARDAVIMUS, GAMYBĄ </t>
  </si>
  <si>
    <t>Pastatai ir statiniai</t>
  </si>
  <si>
    <t>Transporto priemonės</t>
  </si>
  <si>
    <t>Paramos suma, Eur</t>
  </si>
  <si>
    <t>I etapas</t>
  </si>
  <si>
    <t>II etapas</t>
  </si>
  <si>
    <t>Straipsnis</t>
  </si>
  <si>
    <t>Turto vertė metų pradžioje</t>
  </si>
  <si>
    <t>Įsigyta per metus</t>
  </si>
  <si>
    <t>Parduota per metus</t>
  </si>
  <si>
    <t>Turto pradinė vertė metų pradžioje</t>
  </si>
  <si>
    <t>Pardavimai, nurašymai per metus</t>
  </si>
  <si>
    <t>Turto pradinė vertė metų pabaigoje</t>
  </si>
  <si>
    <t>Sukauptas nusidėvėjimas metų pradžioje</t>
  </si>
  <si>
    <t>Priskaičiuota</t>
  </si>
  <si>
    <t>Nurašyto turto nusidėvėjimas</t>
  </si>
  <si>
    <t>Sukauptas nusidėvėjimas metų pabaigoje</t>
  </si>
  <si>
    <t>Turto likutinė vertė metų pabaigoje</t>
  </si>
  <si>
    <t>Mašinos ir įrengimai</t>
  </si>
  <si>
    <t>Kiti įrenginiai, prietaisai ir įrankiai</t>
  </si>
  <si>
    <t>Nematerialusis turtas</t>
  </si>
  <si>
    <t>9.</t>
  </si>
  <si>
    <t>Suma, Eur</t>
  </si>
  <si>
    <t>Pareiškėjo lėšos</t>
  </si>
  <si>
    <t>Grąžintinas PVM</t>
  </si>
  <si>
    <t>Paskola (lizingas)</t>
  </si>
  <si>
    <t>Paramos lėšos</t>
  </si>
  <si>
    <t>Investicijų vertė su PVM</t>
  </si>
  <si>
    <t>Investicijų įgyvendinimo ir paramos išmokėjimo planas</t>
  </si>
  <si>
    <t>Investicijos pavadinimas</t>
  </si>
  <si>
    <t>Investicijų suma be PVM, Eur</t>
  </si>
  <si>
    <t>Investicijų suma su PVM, Eur</t>
  </si>
  <si>
    <t>IŠ VISO</t>
  </si>
  <si>
    <t>Iš viso finansavimo šaltinių</t>
  </si>
  <si>
    <t>III etapas</t>
  </si>
  <si>
    <t>IV etapas</t>
  </si>
  <si>
    <t>V etapas</t>
  </si>
  <si>
    <t>Paskolos ir (arba) lizingo davėjas (bankas ar kt.)</t>
  </si>
  <si>
    <t>Palūkanų norma, proc.</t>
  </si>
  <si>
    <t>Rodikliai</t>
  </si>
  <si>
    <t>Paskolų likutis laikotarpio pradžioje:</t>
  </si>
  <si>
    <t>Ilgalaikė paskola</t>
  </si>
  <si>
    <t>Trumpalaikė paskola</t>
  </si>
  <si>
    <t>Trumpalaikės paskolos paėmimas</t>
  </si>
  <si>
    <t>Trumpalaikės paskolos grąžinimas</t>
  </si>
  <si>
    <t>Paskolų likutis laikotarpio pabaigoje</t>
  </si>
  <si>
    <t>Paskolų palūkanų mokėjimas</t>
  </si>
  <si>
    <t>Nesumokėtos išperkamosios nuomos dalis laikotarpio pradžioje</t>
  </si>
  <si>
    <t>Sumokėta išperkamosios nuomos dalis</t>
  </si>
  <si>
    <t>Nesumokėtos išperkamosios nuomos dalis laikotarpio pabaigoje</t>
  </si>
  <si>
    <t>Išperkamosios nuomos palūkanų mokėjimas</t>
  </si>
  <si>
    <t>FINANSINĖS ATASKAITOS</t>
  </si>
  <si>
    <t>Balanso lygybės patikrinimas</t>
  </si>
  <si>
    <t>Balanso prognozės</t>
  </si>
  <si>
    <t>TURTAS</t>
  </si>
  <si>
    <t>A.</t>
  </si>
  <si>
    <t>ILGALAIKIS TURTAS</t>
  </si>
  <si>
    <t>NEMATERIALUSIS TURTAS</t>
  </si>
  <si>
    <t>Sumokėti avansai</t>
  </si>
  <si>
    <t>MATERIALUSIS TURTAS</t>
  </si>
  <si>
    <t>Žemė</t>
  </si>
  <si>
    <t>Investicinis turtas</t>
  </si>
  <si>
    <t>FINANSINIS TURTAS</t>
  </si>
  <si>
    <t>4.</t>
  </si>
  <si>
    <t>KITAS ILGALAIKIS TURTAS</t>
  </si>
  <si>
    <t>Biologinis turtas</t>
  </si>
  <si>
    <t>B.</t>
  </si>
  <si>
    <t>TRUMPALAIKIS TURTAS</t>
  </si>
  <si>
    <t>ATSARGOS</t>
  </si>
  <si>
    <t>Žaliavos, medžiagos ir komplektavimo detalės</t>
  </si>
  <si>
    <t>Nebaigta produkcija ir vykdomi darbai</t>
  </si>
  <si>
    <t>Produkcija</t>
  </si>
  <si>
    <t>Pirktos prekės, skirtos perparduoti</t>
  </si>
  <si>
    <t>PER VIENUS METUS GAUTINOS SUMOS</t>
  </si>
  <si>
    <t>Pirkėjų skolos</t>
  </si>
  <si>
    <t>Kitos gautinos sumos</t>
  </si>
  <si>
    <t>TRUMPALAIKĖS INVESTICIJOS</t>
  </si>
  <si>
    <t>PINIGAI IR PINIGŲ EKVIVALENTAI</t>
  </si>
  <si>
    <t>C.</t>
  </si>
  <si>
    <t>ATEINANČIŲ LAIKOTARPIŲ SĄNAUDOS IR SUKAUPTOS PAJAMOS</t>
  </si>
  <si>
    <t>TURTO IŠ VISO</t>
  </si>
  <si>
    <t>NUOSAVAS KAPITALAS IR ĮSIPAREIGOJIMAI</t>
  </si>
  <si>
    <t>D.</t>
  </si>
  <si>
    <t>NUOSAVAS KAPITALAS</t>
  </si>
  <si>
    <t>KAPITALAS</t>
  </si>
  <si>
    <t>Įstatinis (pasirašytasis) arba pagrindinis</t>
  </si>
  <si>
    <t>Pasirašytasis neapmokėtas kapitalas (-)</t>
  </si>
  <si>
    <t>Savos akcijos, pajai (–)</t>
  </si>
  <si>
    <t>AKCIJŲ PRIEDAI</t>
  </si>
  <si>
    <t>PERKAINOJIMO REZERVAS</t>
  </si>
  <si>
    <t>REZERVAI</t>
  </si>
  <si>
    <t>NEPASKIRSTYTASIS PELNAS (NUOSTOLIAI)</t>
  </si>
  <si>
    <t>Ataskaitinių metų pelnas (nuostoliai)</t>
  </si>
  <si>
    <t>Ankstesnių metų pelnas (nuostoliai)</t>
  </si>
  <si>
    <t>E.</t>
  </si>
  <si>
    <t>DOTACIJOS, SUBSIDIJOS</t>
  </si>
  <si>
    <t>F.</t>
  </si>
  <si>
    <t>ATIDĖJINIAI</t>
  </si>
  <si>
    <t>G.</t>
  </si>
  <si>
    <t>MOKĖTINOS SUMOS IR ĮSIPAREIGOJIMAI</t>
  </si>
  <si>
    <t>Skoliniai įsipareigojimai</t>
  </si>
  <si>
    <t>Skolos kredito įstaigoms</t>
  </si>
  <si>
    <t>Gauti avansai</t>
  </si>
  <si>
    <t>Skolos tiekėjams</t>
  </si>
  <si>
    <t>Kitos mokėtinos sumos ir ilgalaikiai įsipareigojimai</t>
  </si>
  <si>
    <t>Pelno mokesčio įsipareigojimai</t>
  </si>
  <si>
    <t>Su darbo santykiais susiję įsipareigojimai</t>
  </si>
  <si>
    <t>Kitos mokėtinos sumos ir trumpalaikiai įsipareigojimai</t>
  </si>
  <si>
    <t>H.</t>
  </si>
  <si>
    <t>SUKAUPTOS SĄNAUDOS IR ATEINANČIŲ LAIKOTARPIŲ PAJAMOS</t>
  </si>
  <si>
    <t>Pelno (nuostolių) prognozės</t>
  </si>
  <si>
    <t>Pardavimo pajamos, įskaitant dotacijas, susijusias su pajamomis</t>
  </si>
  <si>
    <t>Dotacijos ir subsidijos susijusios su pajamomis</t>
  </si>
  <si>
    <t>Pardavimo savikaina</t>
  </si>
  <si>
    <t>Biologinio turto tikrosios vertės pokytis</t>
  </si>
  <si>
    <t>BENDRASIS PELNAS (NUOSTOLIAI)</t>
  </si>
  <si>
    <t>Pardavimo sąnaudos</t>
  </si>
  <si>
    <t>Bendrosios ir administracinės sąnaudos</t>
  </si>
  <si>
    <t>Kitos veiklos rezultatai</t>
  </si>
  <si>
    <t>10.</t>
  </si>
  <si>
    <t>PELNAS (NUOSTOLIAI) PRIEŠ APMOKESTINIMĄ</t>
  </si>
  <si>
    <t>Pelno mokestis</t>
  </si>
  <si>
    <t>Pinigų srautų prognozės</t>
  </si>
  <si>
    <t>Pagrindinės veiklos pinigų srautai</t>
  </si>
  <si>
    <t>Grynasis pelnas (nuostoliai)</t>
  </si>
  <si>
    <t>Nusidėvėjimo ir amortizacijos sąnaudos</t>
  </si>
  <si>
    <t>Ilgalaikio materialiojo ir nematerialiojo turto perleidimo rezultatų eliminavimas</t>
  </si>
  <si>
    <t>Finansinės ir investicinės veiklos rezultatų eliminavimas</t>
  </si>
  <si>
    <t>Kitų nepiniginių sandorių rezultatų eliminavimas</t>
  </si>
  <si>
    <t>Iš įmonių grupės įmonių ir asocijuotųjų įmonių gautinų sumų sumažėjimas (padidėjimas)</t>
  </si>
  <si>
    <t>Kitų po vienų metų gautinų sumų sumažėjimas (padidėjimas)</t>
  </si>
  <si>
    <t>Atsargų, išskyrus sumokėtus avansus, sumažėjimas (padidėjimas)</t>
  </si>
  <si>
    <t>Sumokėtų avansų sumažėjimas (padidėjimas)</t>
  </si>
  <si>
    <t>Pirkėjų skolų sumažėjimas (padidėjimas)</t>
  </si>
  <si>
    <t>Kitų gautinų sumų sumažėjimas (padidėjimas)</t>
  </si>
  <si>
    <t>Trumpalaikių investicijų sumažėjimas (padidėjimas)</t>
  </si>
  <si>
    <t>Ateinančių laikotarpių sąnaudų ir sukauptų pajamų sumažėjimas (padidėjimas)</t>
  </si>
  <si>
    <t>Atidėjinių padidėjimas (sumažėjimas)</t>
  </si>
  <si>
    <t>Ilgalaikių skolų tiekėjams ir gautų avansų padidėjimas (sumažėjimas)</t>
  </si>
  <si>
    <t>Trumpalaikių skolų tiekėjams ir gautų avansų padidėjimas (sumažėjimas)</t>
  </si>
  <si>
    <t>Pelno mokesčio įsipareigojimų padidėjimas (sumažėjimas)</t>
  </si>
  <si>
    <t>Su darbo santykiais susijusių įsipareigojimų padidėjimas (sumažėjimas)</t>
  </si>
  <si>
    <t>Kitų mokėtinų sumų ir įsipareigojimų padidėjimas (sumažėjimas)</t>
  </si>
  <si>
    <t>Sukauptų sąnaudų ir ateinančių laikotarpių pajamų padidėjimas (sumažėjimas)</t>
  </si>
  <si>
    <t>Grynieji pagrindinės veiklos pinigų srautai</t>
  </si>
  <si>
    <t>Investicinės veiklos pinigų srautai</t>
  </si>
  <si>
    <t>Ilgalaikio turto (išskyrus investicijas) įsigijimas</t>
  </si>
  <si>
    <t>Ilgalaikio turto (išskyrus investicijas) perleidimas</t>
  </si>
  <si>
    <t>Ilgalaikių investicijų įsigijimas</t>
  </si>
  <si>
    <t>Ilgalaikių investicijų perleidimas</t>
  </si>
  <si>
    <t>Paskolų suteikimas</t>
  </si>
  <si>
    <t>Paskolų susigrąžinimas</t>
  </si>
  <si>
    <t>Gauti dividendai, palūkanos</t>
  </si>
  <si>
    <t>Kitas investicinės veiklos pinigų srautų padidėjimas</t>
  </si>
  <si>
    <t>Kitas investicinės veiklos pinigų srautų sumažėjimas</t>
  </si>
  <si>
    <t>Grynieji investicinės veiklos pinigų srautai</t>
  </si>
  <si>
    <t>Finansinės veiklos pinigų srautai</t>
  </si>
  <si>
    <t>Pinigų srautai, susiję su įmonės savininkais</t>
  </si>
  <si>
    <t>Akcijų išleidimas</t>
  </si>
  <si>
    <t>Savininkų įnašai nuostoliams padengti</t>
  </si>
  <si>
    <t>Savų akcijų supirkimas</t>
  </si>
  <si>
    <t>Dividendų išmokėjimas</t>
  </si>
  <si>
    <t>Pinigų srautai, susiję su kitais finansavimo šaltiniais</t>
  </si>
  <si>
    <t>Finansinių skolų padidėjimas</t>
  </si>
  <si>
    <t>Paskolų gavimas</t>
  </si>
  <si>
    <t>Obligacijų išleidimas</t>
  </si>
  <si>
    <t>Finansinių skolų sumažėjimas</t>
  </si>
  <si>
    <t>Paskolų grąžinimas</t>
  </si>
  <si>
    <t>Obligacijų supirkimas</t>
  </si>
  <si>
    <t>Sumokėtos palūkanos</t>
  </si>
  <si>
    <t>Lizingo (finansinės nuomos) mokėjimai</t>
  </si>
  <si>
    <t>Kitų įmonės įsipareigojimų padidėjimas</t>
  </si>
  <si>
    <t>Kitų įmonės įsipareigojimų sumažėjimas</t>
  </si>
  <si>
    <t>Kitas finansinės veiklos pinigų srautų padidėjimas</t>
  </si>
  <si>
    <t>Kitas finansinės veiklos pinigų srautų sumažėjimas</t>
  </si>
  <si>
    <t>Grynieji finansinės veiklos pinigų srautai</t>
  </si>
  <si>
    <t>Valiutų kursų pokyčio įtaka grynųjų pinigų ir pinigų ekvivalentų likučiui</t>
  </si>
  <si>
    <t>Grynasis pinigų srautų padidėjimas (sumažėjimas)</t>
  </si>
  <si>
    <t>Pinigai ir pinigų ekvivalentai laikotarpio pradžioje</t>
  </si>
  <si>
    <t>Pinigai ir pinigų ekvivalentai laikotarpio pabaigoje</t>
  </si>
  <si>
    <t>Praėjusieji ataskaitiniai metai</t>
  </si>
  <si>
    <t>Paskolų padengimo</t>
  </si>
  <si>
    <t>Skolos</t>
  </si>
  <si>
    <t>Grynasis pelningumas</t>
  </si>
  <si>
    <t>BENDROJI INFORMACIJA</t>
  </si>
  <si>
    <t>Informacija apie planuojamo verslo rūšį</t>
  </si>
  <si>
    <t>Planuojamo verslo rūšis pagal pareiškėją</t>
  </si>
  <si>
    <t xml:space="preserve"> –</t>
  </si>
  <si>
    <t>1.1.2.</t>
  </si>
  <si>
    <t>Planuojamo verslo rūšis pagal verslo vykdymo laiką</t>
  </si>
  <si>
    <t>1.1.3.</t>
  </si>
  <si>
    <t>Planuojamo verslo rūšis pagal sektorių</t>
  </si>
  <si>
    <t>Planuojamo socialinio verslo modelis</t>
  </si>
  <si>
    <t>1.2.1.</t>
  </si>
  <si>
    <t>1.2.2.</t>
  </si>
  <si>
    <t>Verslo vykdymo modelis</t>
  </si>
  <si>
    <t>Pagrindinės verslo tikslinės grupės – potencialių klientų gyvenamoji arba buveinės vieta</t>
  </si>
  <si>
    <t>Informacija apie verslo plano įgyvendinimą</t>
  </si>
  <si>
    <t>Galutinė paraiškos pateikimo diena</t>
  </si>
  <si>
    <t>Einamojo likvidumo rodiklis</t>
  </si>
  <si>
    <t>Iš gamybos</t>
  </si>
  <si>
    <t>Iš paslaugų</t>
  </si>
  <si>
    <t>val.</t>
  </si>
  <si>
    <t>Iš kitos veiklos</t>
  </si>
  <si>
    <t>Kritinės reikšmės</t>
  </si>
  <si>
    <t>Pareiškėjas – ūkio subjektas pagal teisinę formą</t>
  </si>
  <si>
    <t>2.1.</t>
  </si>
  <si>
    <t>2.2.</t>
  </si>
  <si>
    <t>3.1.</t>
  </si>
  <si>
    <t>Pagrindinės verslo tikslinės grupės – potencialių klientų vidutinės mėnesinės pajamos, atsižvelgiant į gaminamų prekių ir (arba) planuojamų teikti paslaugų pobūdį</t>
  </si>
  <si>
    <t>Mažesnės arba lygios nacionaliniam minimaliam darbo užmokesčiui.</t>
  </si>
  <si>
    <t>Mažesnės už nacionalinį vidutinį darbo užmokestį, tačiau didesnės už minimalų vidutinį darbo užmokestį;</t>
  </si>
  <si>
    <t>Didesnės arba lygios nacionaliniam vidutiniam darbo užmokesčiui;</t>
  </si>
  <si>
    <t>Neturi verslo vykdymo patirties</t>
  </si>
  <si>
    <t>Turi verslo vykdymo patirties</t>
  </si>
  <si>
    <t>Pareiškėjas – ūkio subjektas pagal verslo vykdymo patirtį</t>
  </si>
  <si>
    <r>
      <t>Pareiškėjas ir (arba) su juo susiję ūkio subjektai,</t>
    </r>
    <r>
      <rPr>
        <b/>
        <sz val="11"/>
        <color theme="1"/>
        <rFont val="Calibri"/>
        <family val="2"/>
        <charset val="186"/>
        <scheme val="minor"/>
      </rPr>
      <t xml:space="preserve"> </t>
    </r>
    <r>
      <rPr>
        <sz val="11"/>
        <color theme="1"/>
        <rFont val="Calibri"/>
        <family val="2"/>
        <charset val="186"/>
        <scheme val="minor"/>
      </rPr>
      <t>gavę ES ir valstybės paramos per paskutinius trejus mokestinius metus</t>
    </r>
  </si>
  <si>
    <r>
      <t>Pareiškėjas ir su juo susiję ūkio subjektai,</t>
    </r>
    <r>
      <rPr>
        <b/>
        <sz val="11"/>
        <color theme="1"/>
        <rFont val="Calibri"/>
        <family val="2"/>
        <charset val="186"/>
        <scheme val="minor"/>
      </rPr>
      <t xml:space="preserve"> </t>
    </r>
    <r>
      <rPr>
        <sz val="11"/>
        <color theme="1"/>
        <rFont val="Calibri"/>
        <family val="2"/>
        <charset val="186"/>
        <scheme val="minor"/>
      </rPr>
      <t>negavę ES ir valstybės paramos per paskutinius trejus mokestinius metus</t>
    </r>
  </si>
  <si>
    <t>ES finansavimo gavimas 2</t>
  </si>
  <si>
    <t>Gavęs ES ir valstybės paramą per paskutinius trejus mokestinius metus</t>
  </si>
  <si>
    <t>Negavęs ES ir valstybės paramos per paskutinius trejus mokestinius metus</t>
  </si>
  <si>
    <t>ES finansavimo gavimas 1</t>
  </si>
  <si>
    <t>Vidutinė įmonė</t>
  </si>
  <si>
    <t>Maža įmonė</t>
  </si>
  <si>
    <t>Labai maža įmonė</t>
  </si>
  <si>
    <t>Įmonės dydis</t>
  </si>
  <si>
    <t>Susijęs su kitais ūkio subjektais</t>
  </si>
  <si>
    <t>Savarankiškas ūkio subjektas</t>
  </si>
  <si>
    <t>Pareiškėjas – ūkio subjektas pagal savarankiškumą</t>
  </si>
  <si>
    <t>Kita:</t>
  </si>
  <si>
    <t>Ūkininkas</t>
  </si>
  <si>
    <t>Fizinis asmuo, veikiantis pagal individualios veiklos pažymą</t>
  </si>
  <si>
    <t>Individuali įmonė</t>
  </si>
  <si>
    <t>Mažoji bendrija</t>
  </si>
  <si>
    <t>Uždaroji akcinė bendrovė</t>
  </si>
  <si>
    <r>
      <t>K</t>
    </r>
    <r>
      <rPr>
        <sz val="11"/>
        <color theme="1"/>
        <rFont val="Calibri"/>
        <family val="2"/>
        <charset val="186"/>
        <scheme val="minor"/>
      </rPr>
      <t>ita:</t>
    </r>
  </si>
  <si>
    <r>
      <t>V</t>
    </r>
    <r>
      <rPr>
        <sz val="11"/>
        <color theme="1"/>
        <rFont val="Calibri"/>
        <family val="2"/>
        <charset val="186"/>
        <scheme val="minor"/>
      </rPr>
      <t>isa ES teritorija</t>
    </r>
  </si>
  <si>
    <r>
      <t>D</t>
    </r>
    <r>
      <rPr>
        <sz val="11"/>
        <color theme="1"/>
        <rFont val="Calibri"/>
        <family val="2"/>
        <charset val="186"/>
        <scheme val="minor"/>
      </rPr>
      <t>alis ES teritorijos</t>
    </r>
  </si>
  <si>
    <t>Visa Lietuvos Respublikos teritorija</t>
  </si>
  <si>
    <t>Dalis Lietuvos Respublikos teritorijos</t>
  </si>
  <si>
    <t>visa VVG teritorija</t>
  </si>
  <si>
    <t>VVG teritorijos dalis</t>
  </si>
  <si>
    <t>Įterptinis</t>
  </si>
  <si>
    <t>Integruotas</t>
  </si>
  <si>
    <t>Išorinis</t>
  </si>
  <si>
    <t>Žemės ūkio verslas</t>
  </si>
  <si>
    <t>Ne žemės ūkio verslas</t>
  </si>
  <si>
    <t>Verslo plėtra</t>
  </si>
  <si>
    <t>Verslo pradžia</t>
  </si>
  <si>
    <t>Ūkininko vykdomas verslas</t>
  </si>
  <si>
    <t>Privatus verslas, vykdomas fizinio asmens (išskyrus ūkininkus)</t>
  </si>
  <si>
    <t>Privatus verslas, vykdomas juridinio asmens</t>
  </si>
  <si>
    <t>3.1.1.</t>
  </si>
  <si>
    <t>Data</t>
  </si>
  <si>
    <t>Vieta</t>
  </si>
  <si>
    <t>Pastabos</t>
  </si>
  <si>
    <t>Vietos projekto vykdytojo pavadinimas</t>
  </si>
  <si>
    <t>Ilgiausia projekto įgyvendinimo trukmė, mėn.</t>
  </si>
  <si>
    <t>Projekto įgyvendinimo trukmė, mėn.</t>
  </si>
  <si>
    <t>Ekonominio gyvybingumo rodikliai</t>
  </si>
  <si>
    <t>Parametrai</t>
  </si>
  <si>
    <t>Kontrolės laikotarpio trukmė po verslo plano įgyvendinimo, m.</t>
  </si>
  <si>
    <t>Projekto įgyvendinimo pabaiga</t>
  </si>
  <si>
    <t>Projekto įgyvendinimo pradžia</t>
  </si>
  <si>
    <t>Galutinė projekto įgyvendinimo data</t>
  </si>
  <si>
    <t>Rinkos situacija</t>
  </si>
  <si>
    <t>Pagal Vidutinio metų sąrašinio darbuotojų skaičiaus apskaičiavimo metodiką, nustatytą Smulkiojo ir vidutinio verslo subjekto vidutinio metų sąrašinio darbuotojų skaičiaus nustatymo tvarkos apraše, patvirtintame Lietuvos Respublikos ūkio ministro 2008 m. kovo 31 d. įsakymu Nr. 4-126 „Dėl Smulkiojo ir vidutinio verslo subjekto vidutinio metų sąrašinio darbuotojų skaičiaus nustatymo tvarkos aprašo patvirtinimo“ (toliau – aprašas). Jeigu vietos projekto paraiška teikiama sausio mėnesį, vidutinis sąrašinis darbuotojų skaičius skaičiuojamas pagal ataskaitinių metų duomenis, jeigu vietos projekto paraiška teikiama vasario–gruodžio mėnesiais, vidutinis sąrašinis darbuotojų skaičius skaičiuojamas pagal einamųjų metų praėjusių mėnesių duomenis, naudojant aprašo 7 punkte nustatytą vidutinio sąrašinio darbuotojų nustatymo būdą.</t>
  </si>
  <si>
    <t>Nuomos / panaudos davėjas (asmens vardas, pavardė / įmonės pavadinimas)</t>
  </si>
  <si>
    <t>Nuomos / panaudos terminas</t>
  </si>
  <si>
    <t>Valdymo teisė</t>
  </si>
  <si>
    <t>Turto objekto pavadinimas</t>
  </si>
  <si>
    <t>Vidutinis darbuotojų skaičius ir darbo užmokestis</t>
  </si>
  <si>
    <t>Darbuotojų vidutinis metinis darbo užmokestis (bruto), Eur</t>
  </si>
  <si>
    <t>Vidutinis darbuotojų (etatų) skaičius</t>
  </si>
  <si>
    <t>Iš viso darbo užmokesčio sąnaudos, Eur</t>
  </si>
  <si>
    <t>Unikalus objekto Nr.</t>
  </si>
  <si>
    <t>Panauda</t>
  </si>
  <si>
    <t>Nuoma</t>
  </si>
  <si>
    <t>Turto valdymo teisinis pagrindas</t>
  </si>
  <si>
    <t>Pagaminimo metai</t>
  </si>
  <si>
    <t>Informacija apie turimą ilgalaikį materialųjį turtą</t>
  </si>
  <si>
    <t>Esamos ir planuojamos ekonominės ir (arba) socialinės veiklos apibūdinimas</t>
  </si>
  <si>
    <t>Pareiškėjo turimi ištekliai (išskyrus finansinius)</t>
  </si>
  <si>
    <t>3.1.1.1.</t>
  </si>
  <si>
    <t>Jei keičiasi darbuotojų skaičius, paaiškinkite priežastis.</t>
  </si>
  <si>
    <t>Darbuotojų skaičiaus ir darbo užmokesčio pokyčių paaiškinimas</t>
  </si>
  <si>
    <t>3.1.1.2.</t>
  </si>
  <si>
    <t>3.1.1.3.</t>
  </si>
  <si>
    <t>3.1.1.4.</t>
  </si>
  <si>
    <t>3.1.2.</t>
  </si>
  <si>
    <t>3.1.2.1.</t>
  </si>
  <si>
    <t>3.1.2.2.</t>
  </si>
  <si>
    <t>3.1.2.3.</t>
  </si>
  <si>
    <t>3.1.2.4.</t>
  </si>
  <si>
    <t>3.1.2.5.</t>
  </si>
  <si>
    <t>3.1.2.6.</t>
  </si>
  <si>
    <t>3.1.2.7.</t>
  </si>
  <si>
    <t>Nuosavas turtas</t>
  </si>
  <si>
    <t>Kompensavimas su avansu</t>
  </si>
  <si>
    <t>Paramos išmokėjimo būdas</t>
  </si>
  <si>
    <t>Šaltinis</t>
  </si>
  <si>
    <t>3.2.</t>
  </si>
  <si>
    <t>3.2.1.</t>
  </si>
  <si>
    <t>3.2.2.</t>
  </si>
  <si>
    <r>
      <t>Pasiūla.</t>
    </r>
    <r>
      <rPr>
        <sz val="11"/>
        <rFont val="Calibri"/>
        <family val="2"/>
        <charset val="186"/>
        <scheme val="minor"/>
      </rPr>
      <t xml:space="preserve"> Verslo plane numatytų gaminti prekių ir (arba) teikti paslaugų pasiūlos apibūdinimas (konkurencinė aplinka).</t>
    </r>
  </si>
  <si>
    <r>
      <t xml:space="preserve">Paklausa. </t>
    </r>
    <r>
      <rPr>
        <sz val="11"/>
        <rFont val="Calibri"/>
        <family val="2"/>
        <charset val="186"/>
        <scheme val="minor"/>
      </rPr>
      <t>Verslo plane numatytų gaminti prekių ir (arba) teikti paslaugų paklausos apibūdinimas.</t>
    </r>
  </si>
  <si>
    <t>Paramos išmokėjimo būdai</t>
  </si>
  <si>
    <t>Kompensavimas</t>
  </si>
  <si>
    <t>Sąskaitų apmokėjimo būdas</t>
  </si>
  <si>
    <t>Prašomos paramos dydis</t>
  </si>
  <si>
    <t>Didžiausias galimas išmokėti avanso dydis</t>
  </si>
  <si>
    <t>Suma finansavimui</t>
  </si>
  <si>
    <t>Etapai</t>
  </si>
  <si>
    <t>Įrašykite pareiškėjo pavadinimą (jeigu tai juridinis asmuo) arba vardą ir pavardę (jeigu tai fizinis asmuo)</t>
  </si>
  <si>
    <t>Pajamos iš gamybos</t>
  </si>
  <si>
    <t>Pajamos iš paslaugų</t>
  </si>
  <si>
    <t>Pajamos iš kitos veiklos</t>
  </si>
  <si>
    <t>jei neįrašyta, apskaičiuojama remiantis ilgiausia projekto įgyvendinimo trukme</t>
  </si>
  <si>
    <t>Vykdomos veiklos pagal EVRK kodą:</t>
  </si>
  <si>
    <t>Veiklos kodas ir pavadinimas pagal EVRK</t>
  </si>
  <si>
    <r>
      <t>Pajamos (</t>
    </r>
    <r>
      <rPr>
        <b/>
        <sz val="9"/>
        <color theme="1"/>
        <rFont val="Times New Roman"/>
        <family val="1"/>
        <charset val="186"/>
      </rPr>
      <t>gamyba</t>
    </r>
    <r>
      <rPr>
        <sz val="9"/>
        <color theme="1"/>
        <rFont val="Times New Roman"/>
        <family val="1"/>
        <charset val="186"/>
      </rPr>
      <t>)</t>
    </r>
  </si>
  <si>
    <t>1.2.4.</t>
  </si>
  <si>
    <r>
      <t>Pajamos (</t>
    </r>
    <r>
      <rPr>
        <b/>
        <sz val="9"/>
        <color theme="1"/>
        <rFont val="Times New Roman"/>
        <family val="1"/>
        <charset val="186"/>
      </rPr>
      <t>paslaugos</t>
    </r>
    <r>
      <rPr>
        <sz val="9"/>
        <color theme="1"/>
        <rFont val="Times New Roman"/>
        <family val="1"/>
        <charset val="186"/>
      </rPr>
      <t>)</t>
    </r>
  </si>
  <si>
    <r>
      <rPr>
        <b/>
        <sz val="9"/>
        <color theme="1"/>
        <rFont val="Times New Roman"/>
        <family val="1"/>
        <charset val="186"/>
      </rPr>
      <t>Paslaugos</t>
    </r>
    <r>
      <rPr>
        <sz val="9"/>
        <color theme="1"/>
        <rFont val="Times New Roman"/>
        <family val="1"/>
        <charset val="186"/>
      </rPr>
      <t xml:space="preserve"> pavadinimas</t>
    </r>
  </si>
  <si>
    <r>
      <rPr>
        <b/>
        <sz val="9"/>
        <color theme="1"/>
        <rFont val="Times New Roman"/>
        <family val="1"/>
        <charset val="186"/>
      </rPr>
      <t>Produkto</t>
    </r>
    <r>
      <rPr>
        <sz val="9"/>
        <color theme="1"/>
        <rFont val="Times New Roman"/>
        <family val="1"/>
        <charset val="186"/>
      </rPr>
      <t xml:space="preserve"> pavadinimas</t>
    </r>
  </si>
  <si>
    <r>
      <rPr>
        <b/>
        <sz val="9"/>
        <color theme="1"/>
        <rFont val="Times New Roman"/>
        <family val="1"/>
        <charset val="186"/>
      </rPr>
      <t>Kitos veiklos</t>
    </r>
    <r>
      <rPr>
        <sz val="9"/>
        <color theme="1"/>
        <rFont val="Times New Roman"/>
        <family val="1"/>
        <charset val="186"/>
      </rPr>
      <t xml:space="preserve"> pavadinimas</t>
    </r>
  </si>
  <si>
    <r>
      <t>Pajamos (</t>
    </r>
    <r>
      <rPr>
        <b/>
        <sz val="9"/>
        <color theme="1"/>
        <rFont val="Times New Roman"/>
        <family val="1"/>
        <charset val="186"/>
      </rPr>
      <t>kita veikla</t>
    </r>
    <r>
      <rPr>
        <sz val="9"/>
        <color theme="1"/>
        <rFont val="Times New Roman"/>
        <family val="1"/>
        <charset val="186"/>
      </rPr>
      <t>)</t>
    </r>
  </si>
  <si>
    <t>Lygis</t>
  </si>
  <si>
    <t>Skyrius</t>
  </si>
  <si>
    <t>Parduoto kiekio ir pardavimo kainų pagrindimas</t>
  </si>
  <si>
    <t>Matavimo vienetai</t>
  </si>
  <si>
    <t>t</t>
  </si>
  <si>
    <t>kg</t>
  </si>
  <si>
    <t>m3</t>
  </si>
  <si>
    <r>
      <t>m</t>
    </r>
    <r>
      <rPr>
        <vertAlign val="superscript"/>
        <sz val="11"/>
        <color theme="1"/>
        <rFont val="Calibri"/>
        <family val="2"/>
        <charset val="186"/>
        <scheme val="minor"/>
      </rPr>
      <t>2</t>
    </r>
  </si>
  <si>
    <r>
      <t>m</t>
    </r>
    <r>
      <rPr>
        <vertAlign val="superscript"/>
        <sz val="11"/>
        <color theme="1"/>
        <rFont val="Calibri"/>
        <family val="2"/>
        <charset val="186"/>
        <scheme val="minor"/>
      </rPr>
      <t>3</t>
    </r>
  </si>
  <si>
    <t>IŠ VISO TURTO</t>
  </si>
  <si>
    <t>7.1.</t>
  </si>
  <si>
    <t>INFORMACIJA APIE PAREIŠKĖJO VEIKLOS SĄNAUDAS, EUR</t>
  </si>
  <si>
    <t>8.1.1</t>
  </si>
  <si>
    <t>8.1.2</t>
  </si>
  <si>
    <t>8.1.3</t>
  </si>
  <si>
    <t>8.1.4</t>
  </si>
  <si>
    <t>8.1.5</t>
  </si>
  <si>
    <t xml:space="preserve">Turimos paskolos ir (arba) išperkamoji nuoma, Eur </t>
  </si>
  <si>
    <t xml:space="preserve">INFORMACIJA APIE PASKOLAS IR (ARBA) IŠPERKAMĄJĄ (FINANSINĘ) NUOMĄ (LIZINGĄ), EUR
 </t>
  </si>
  <si>
    <t xml:space="preserve">Paskolų aptarnavimas, Eur </t>
  </si>
  <si>
    <t>Ilgalaikės paskolos paėmimas</t>
  </si>
  <si>
    <t>Ilgalaikės paskolos grąžinimas</t>
  </si>
  <si>
    <t>Likutis</t>
  </si>
  <si>
    <t>Paskirtis</t>
  </si>
  <si>
    <t>Gavimo data</t>
  </si>
  <si>
    <t>Grąžinimo data</t>
  </si>
  <si>
    <t>Pradinė suma</t>
  </si>
  <si>
    <t>9.1</t>
  </si>
  <si>
    <t>9.2</t>
  </si>
  <si>
    <t>9.3</t>
  </si>
  <si>
    <t>Pelno mokesčio tarifas</t>
  </si>
  <si>
    <t>Pelno mokesčio tarifo pagrindimas</t>
  </si>
  <si>
    <t>Paskolų aptarnavimo suvestinė.</t>
  </si>
  <si>
    <t>Išperkamosios nuomos (lizingo) aptarnavimo suvestinė.</t>
  </si>
  <si>
    <t>&lt;&lt; Įvesta 5.2 lentelėje</t>
  </si>
  <si>
    <t>Išperkamoji nuoma (lizingas)</t>
  </si>
  <si>
    <t>9.2.1.</t>
  </si>
  <si>
    <t>9.2.1.1</t>
  </si>
  <si>
    <t>9.2.2.</t>
  </si>
  <si>
    <t>Išperkamosios nuomos (lizingo) aptarnavimas, Eur</t>
  </si>
  <si>
    <t xml:space="preserve">Nurodomi ir apibūdinami pagrindiniai pareiškėjo konkurentai, paaiškinamos konkurentų silpnosios ir stipriosios savybės. Pateikiama informacija apie vidutinį planuojamų parduoti preikių ir (arba) paslaugų kainų lygį. Apbūdinamos galimos konkurencinės aplinkos ir kainų lygio kitimo tendencijos.
</t>
  </si>
  <si>
    <t>Nurodoma žemės vertė,  įskaitant mišką.</t>
  </si>
  <si>
    <t>Nurodoma vertė, įskaitant sumokėtus avansus ir vykdomus materialiojo turto  statybos (gamybos) darbus</t>
  </si>
  <si>
    <t>Jei dalis darbo užmokesčio sąnaudų priskiriamos pardavimo sąnaudoms, jos įvedamos čia.</t>
  </si>
  <si>
    <t>Jei dalis darbo užmokesčio sąnaudų priskiriamos bendrosioms ir administracinėms sąnaudos, jos įvedamos čia.</t>
  </si>
  <si>
    <t>Remiantis 8 skyriaus duomenimis įskaičiuojamos paskolos ir ne kredito įstaigoms. Ataskaitiniais metais, jei buvo apskaityta kitaip, formulę galima ištrinti ir įrašyti faktinę reikšmę.</t>
  </si>
  <si>
    <t>Remiantis 8 skyriaus duomenimis įskaičiuojamos paskolų ir ne kredito įstaigoms sumos. Ataskaitiniais metais, jei buvo apskaityta kitaip, formulę galima ištrinti ir įrašyti faktinę reikšmę.</t>
  </si>
  <si>
    <r>
      <t xml:space="preserve">Investicijų </t>
    </r>
    <r>
      <rPr>
        <b/>
        <sz val="11"/>
        <color theme="4"/>
        <rFont val="Times New Roman"/>
        <family val="1"/>
        <charset val="186"/>
      </rPr>
      <t>apmokėjimo</t>
    </r>
    <r>
      <rPr>
        <b/>
        <sz val="11"/>
        <color theme="1"/>
        <rFont val="Times New Roman"/>
        <family val="1"/>
        <charset val="186"/>
      </rPr>
      <t xml:space="preserve"> šaltiniai</t>
    </r>
  </si>
  <si>
    <r>
      <rPr>
        <b/>
        <sz val="9"/>
        <color theme="4"/>
        <rFont val="Times New Roman"/>
        <family val="1"/>
        <charset val="186"/>
      </rPr>
      <t>Apmokėjimo</t>
    </r>
    <r>
      <rPr>
        <b/>
        <sz val="9"/>
        <color theme="1"/>
        <rFont val="Times New Roman"/>
        <family val="1"/>
        <charset val="186"/>
      </rPr>
      <t xml:space="preserve"> šaltiniai</t>
    </r>
  </si>
  <si>
    <t>Paramos išmokėjimo trukmė, mėn.</t>
  </si>
  <si>
    <t>Etapo mokėjimo prašymo pateikimo data</t>
  </si>
  <si>
    <t>INFORMACIJA APIE INVESTICIJAS IR JŲ APMOKĖJIMO ŠALTINIUS</t>
  </si>
  <si>
    <t>Sumokėti avansai ir vykdomi materialiojo turto statybos (gamybos) darbai</t>
  </si>
  <si>
    <t>PASTABOS</t>
  </si>
  <si>
    <t>255;205;205</t>
  </si>
  <si>
    <t>Jei:
- langelyje rašomas tekstas ir norima tekstą pradėti rašyti iš naujos eilutės langelio viduje, naudokite klavišų kombinaciją "Alt+Enter";
(Alt kairysis)</t>
  </si>
  <si>
    <t>- langeliuose skirtuose tekstui įvesti, dalis įvesto teksto nesimato ir negali būti sutrumpintas nes pateikiama svarbi informacija, tekstą palikite, jis bus perskaitytas iš šio excel failo.</t>
  </si>
  <si>
    <t>Paraiškos priimamos nuo</t>
  </si>
  <si>
    <t>255;240;210</t>
  </si>
  <si>
    <t>10.2.</t>
  </si>
  <si>
    <t>10.1.</t>
  </si>
  <si>
    <t>10.3.</t>
  </si>
  <si>
    <t>10.4.</t>
  </si>
  <si>
    <t>5.2.1</t>
  </si>
  <si>
    <t>5.2.1.1</t>
  </si>
  <si>
    <t>5.2.1.2</t>
  </si>
  <si>
    <t>5.2.1.3</t>
  </si>
  <si>
    <t>5.2.1.4</t>
  </si>
  <si>
    <t>5.2.1.5</t>
  </si>
  <si>
    <t>5.2.1.6</t>
  </si>
  <si>
    <t>5.2.1.7</t>
  </si>
  <si>
    <t>5.2.1.8</t>
  </si>
  <si>
    <t>5.2.1.9</t>
  </si>
  <si>
    <t>5.2.2</t>
  </si>
  <si>
    <t>5.2.2.1</t>
  </si>
  <si>
    <t>5.2.2.2</t>
  </si>
  <si>
    <t>5.2.2.3</t>
  </si>
  <si>
    <t>5.2.2.4</t>
  </si>
  <si>
    <t>5.2.2.5</t>
  </si>
  <si>
    <t>5.2.2.6</t>
  </si>
  <si>
    <t>5.2.2.7</t>
  </si>
  <si>
    <t>5.2.2.8</t>
  </si>
  <si>
    <t>5.2.2.9</t>
  </si>
  <si>
    <t>5.2.3</t>
  </si>
  <si>
    <t>5.2.3.1</t>
  </si>
  <si>
    <t>5.2.3.2</t>
  </si>
  <si>
    <t>5.2.3.3</t>
  </si>
  <si>
    <t>5.2.3.4</t>
  </si>
  <si>
    <t>5.2.3.5</t>
  </si>
  <si>
    <t>5.2.4</t>
  </si>
  <si>
    <t>5.2.4.1</t>
  </si>
  <si>
    <t>5.2.4.2</t>
  </si>
  <si>
    <t>5.2.4.3</t>
  </si>
  <si>
    <t>5.2.4.4</t>
  </si>
  <si>
    <t>5.2.4.5</t>
  </si>
  <si>
    <t>5.2.5</t>
  </si>
  <si>
    <t>5.2.5.1</t>
  </si>
  <si>
    <t>5.2.5.2</t>
  </si>
  <si>
    <t>5.2.5.3</t>
  </si>
  <si>
    <t>5.2.5.4</t>
  </si>
  <si>
    <t>5.2.5.5</t>
  </si>
  <si>
    <t>5.2.3.6</t>
  </si>
  <si>
    <t>5.2.3.7</t>
  </si>
  <si>
    <t>5.2.3.8</t>
  </si>
  <si>
    <t>5.2.3.9</t>
  </si>
  <si>
    <t>5.2.4.6</t>
  </si>
  <si>
    <t>5.2.4.7</t>
  </si>
  <si>
    <t>5.2.4.8</t>
  </si>
  <si>
    <t>5.2.4.9</t>
  </si>
  <si>
    <t>5.2.5.6</t>
  </si>
  <si>
    <t>5.2.5.7</t>
  </si>
  <si>
    <t>5.2.5.8</t>
  </si>
  <si>
    <t>5.2.5.9</t>
  </si>
  <si>
    <t xml:space="preserve">Apibūdinama verslo vykdymo schema (paaiškinamas funkcijų pasiskirstymas tarp pareiškėjo darbuotojų; nurodoma, kokioms verslą apimančioms veiklos dalims bus samdomi subrangovai ir pan.
</t>
  </si>
  <si>
    <t>9.3.1.</t>
  </si>
  <si>
    <t xml:space="preserve">9.3.2. </t>
  </si>
  <si>
    <t>9.3.3.</t>
  </si>
  <si>
    <t>9.3.4.</t>
  </si>
  <si>
    <t>9.3.5.</t>
  </si>
  <si>
    <t>9.3.6.</t>
  </si>
  <si>
    <t>9.3.7.</t>
  </si>
  <si>
    <t>9.3.3.2.6.</t>
  </si>
  <si>
    <t>9.3.3.2.5.</t>
  </si>
  <si>
    <t>9.3.3.2.</t>
  </si>
  <si>
    <t>9.3.3.2.1.</t>
  </si>
  <si>
    <t>9.3.3.2.1.1.</t>
  </si>
  <si>
    <t>9.3.3.2.1.2.</t>
  </si>
  <si>
    <t>9.3.3.2.2.</t>
  </si>
  <si>
    <t>9.3.3.2.2.1.</t>
  </si>
  <si>
    <t>9.3.3.2.2.2.</t>
  </si>
  <si>
    <t>9.3.3.2.2.3.</t>
  </si>
  <si>
    <t>9.3.3.2.2.4.</t>
  </si>
  <si>
    <t>9.3.3.2.3.</t>
  </si>
  <si>
    <t>9.3.3.2.4.</t>
  </si>
  <si>
    <t>9.3.3.1.</t>
  </si>
  <si>
    <t>9.3.3.1.1.</t>
  </si>
  <si>
    <t>9.3.3.1.2.</t>
  </si>
  <si>
    <t>9.3.3.1.3.</t>
  </si>
  <si>
    <t>9.3.3.1.4.</t>
  </si>
  <si>
    <t>9.3.1.1.</t>
  </si>
  <si>
    <t>9.3.1.2.</t>
  </si>
  <si>
    <t>9.3.1.3.</t>
  </si>
  <si>
    <t>9.3.1.4.</t>
  </si>
  <si>
    <t>9.3.1.5.</t>
  </si>
  <si>
    <t>9.3.1.6.</t>
  </si>
  <si>
    <t>9.3.1.7.</t>
  </si>
  <si>
    <t>9.3.1.8.</t>
  </si>
  <si>
    <t>9.3.1.9.</t>
  </si>
  <si>
    <t>9.3.1.10.</t>
  </si>
  <si>
    <t>9.3.1.11.</t>
  </si>
  <si>
    <t>9.3.1.13.</t>
  </si>
  <si>
    <t>9.3.1.14.</t>
  </si>
  <si>
    <t>9.3.1.15.</t>
  </si>
  <si>
    <t>9.3.1.16.</t>
  </si>
  <si>
    <t>9.3.1.17.</t>
  </si>
  <si>
    <t>9.3.1.20.</t>
  </si>
  <si>
    <t>9.3.1.23.</t>
  </si>
  <si>
    <t>9.3.2.1.</t>
  </si>
  <si>
    <t>9.3.2.2.</t>
  </si>
  <si>
    <t>9.3.2.3.</t>
  </si>
  <si>
    <t>9.3.2.4.</t>
  </si>
  <si>
    <t>9.3.2.5.</t>
  </si>
  <si>
    <t>9.3.2.6.</t>
  </si>
  <si>
    <t>9.3.2.7.</t>
  </si>
  <si>
    <t>9.3.2.8.</t>
  </si>
  <si>
    <t>9.3.2.9.</t>
  </si>
  <si>
    <t>Gelsvos spalvos langelyje pateikiami lentelių pavadinimai, lentelių antraštės, taip pat, rodomi verslo plano įgyvendinimo metai.</t>
  </si>
  <si>
    <t>255;230;155</t>
  </si>
  <si>
    <t>Sutikrinimas su 5 skyriuje nurodytais įsigijimais</t>
  </si>
  <si>
    <t>NUOSAVO KAPITALO IR ĮSIPAREIGOJIMŲ IŠ VISO</t>
  </si>
  <si>
    <t>9.1.1.</t>
  </si>
  <si>
    <t>9.1.2.</t>
  </si>
  <si>
    <t>9.1.3.</t>
  </si>
  <si>
    <t>9.1.4.</t>
  </si>
  <si>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tai prognozuojamu laikotarpių tokios sumos šioje eilutėje nėra planuojamos.</t>
    </r>
  </si>
  <si>
    <r>
      <t xml:space="preserve">Jei ataskaitiniais metais šioje eilutėje </t>
    </r>
    <r>
      <rPr>
        <sz val="9"/>
        <color rgb="FFC00000"/>
        <rFont val="Times New Roman"/>
        <family val="1"/>
        <charset val="186"/>
      </rPr>
      <t>teikiamos</t>
    </r>
    <r>
      <rPr>
        <sz val="9"/>
        <color theme="1"/>
        <rFont val="Times New Roman"/>
        <family val="1"/>
        <charset val="186"/>
      </rPr>
      <t xml:space="preserve"> paskolų ne kredito įstaigoms sumos, prognozuojamu laikotarpių tokios sumos šioje eilutėje nėra planuojamos.</t>
    </r>
  </si>
  <si>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t>
    </r>
  </si>
  <si>
    <t>PAGRINDINĖS (TIPINĖS) VEIKLOS PELNAS (NUOSTOLIAI)</t>
  </si>
  <si>
    <t>Finansinės ir investicinės veiklos pajamos</t>
  </si>
  <si>
    <t>Palūkanos</t>
  </si>
  <si>
    <t>Planuoti ateičiai nerekomenduojama. Duomenys gali būti įvesti, jei toks faktas yra įvykęs arba tikrai žinoma, kad įvyks. Kitų ilgalaikių investicijų ir paskolų pajamos. Kitos palūkanų ir panašios pajamos. Investicijų į patronuojančiosios, patronuojamųjų ir asocijuotųjų įmonių akcijas pajamos.</t>
  </si>
  <si>
    <t>Planuoti ateičiai nerekomenduojama. Duomenys gali būti įvesti, jei toks faktas yra įvykęs arba tikrai žinoma, kad įvyks. Kitos veiklos rezultatą sudaro nematerialiojo ir ilgalaikio materialiojo turto perleidimo pelnas (nuostolis).</t>
  </si>
  <si>
    <t>Planuoti ateičiai nerekomenduojama. Duomenys gali būti įvesti, jei toks faktas yra įvykęs arba tikrai žinoma, kad įvyks. Finansinio turto ir trumpalaikių investicijų vertės sumažėjimas. Delspinigiai.</t>
  </si>
  <si>
    <t>Planuoti ateičiai nerekomenduojama. Duomenys gali būti įvesti, jei toks faktas yra įvykęs arba tikrai žinoma, kad įvyks.</t>
  </si>
  <si>
    <t>Prognozuojamu laikotarpiu priskirtas nematerialiojo ir ilgalaikio materialiojo turto perleidimo pelnas. Jei ataskaitiniais metais turime kitą reikšmę, galima ją įvesti ištrinant formulę.</t>
  </si>
  <si>
    <t>Prognozuojamu laikotarpiu priskirtas nematerialiojo ir ilgalaikio materialiojo turto perleidimo nuostolis. Jei ataskaitiniais metais turime kitą reikšmę, galima ją įvesti ištrinant formulę.</t>
  </si>
  <si>
    <t>Neplanuojama. Jei obligacijos buvo išleistos, jos priskirtinos paskoloms.</t>
  </si>
  <si>
    <t>Neplanuojama.</t>
  </si>
  <si>
    <r>
      <rPr>
        <sz val="9"/>
        <color rgb="FFC00000"/>
        <rFont val="Times New Roman"/>
        <family val="1"/>
        <charset val="186"/>
      </rPr>
      <t xml:space="preserve">Atkreipkite dėmesį! </t>
    </r>
    <r>
      <rPr>
        <sz val="9"/>
        <color theme="1"/>
        <rFont val="Times New Roman"/>
        <family val="1"/>
        <charset val="186"/>
      </rPr>
      <t>Pokyčiai nėra susieti su pinigų srautų ataskaita. Jei šioje eilutėje planuojami skirtingi likučiai, būtina papildyti pinigų srautų ataskaitą, kitaip balanso lygybė nebus gauta. Planuoti ateičiai nerekomenduojama. Duomenys gali būti įvesti, jei toks faktas yra įvykęs arba tikrai žinoma, kad įvyks.</t>
    </r>
  </si>
  <si>
    <t>Kito ilgalaikio turto, įskaitant biologinį, sumažėjimas (padidėjimas)</t>
  </si>
  <si>
    <t>Iš viso investicijų iki</t>
  </si>
  <si>
    <t>9.2.1.2</t>
  </si>
  <si>
    <t>9.2.1.3</t>
  </si>
  <si>
    <t>9.2.1.4</t>
  </si>
  <si>
    <t>9.2.3.</t>
  </si>
  <si>
    <t>9.2.4.</t>
  </si>
  <si>
    <t>9.2.5.</t>
  </si>
  <si>
    <t>9.2.6.</t>
  </si>
  <si>
    <t>9.2.7.</t>
  </si>
  <si>
    <t>9.2.8.</t>
  </si>
  <si>
    <t>9.2.9.</t>
  </si>
  <si>
    <t>9.2.12.</t>
  </si>
  <si>
    <t>9.2.10.</t>
  </si>
  <si>
    <t>9.2.11.</t>
  </si>
  <si>
    <t>9.2.13.</t>
  </si>
  <si>
    <t>9.2.14.</t>
  </si>
  <si>
    <t>9.2.15.</t>
  </si>
  <si>
    <t>9.2.16.</t>
  </si>
  <si>
    <t>9.3.1.12.</t>
  </si>
  <si>
    <t>9.3.1.18.</t>
  </si>
  <si>
    <t>9.3.1.21.</t>
  </si>
  <si>
    <t>9.3.1.22.</t>
  </si>
  <si>
    <t>9.3.2.10.</t>
  </si>
  <si>
    <t>9.3.3.2.7.</t>
  </si>
  <si>
    <t>6.2.</t>
  </si>
  <si>
    <t>6.1.</t>
  </si>
  <si>
    <t>6.1.1.</t>
  </si>
  <si>
    <t>6.1.2.</t>
  </si>
  <si>
    <t>6.1.3.</t>
  </si>
  <si>
    <t>6.1.4.</t>
  </si>
  <si>
    <t>6.3.1.</t>
  </si>
  <si>
    <t>6.3.2.</t>
  </si>
  <si>
    <t>6.3.3.</t>
  </si>
  <si>
    <t>6.3.4.</t>
  </si>
  <si>
    <t>6.3.5.</t>
  </si>
  <si>
    <t>6.3.6.</t>
  </si>
  <si>
    <t>6.3.7.</t>
  </si>
  <si>
    <t>6.3.8.</t>
  </si>
  <si>
    <t>6.3.9.</t>
  </si>
  <si>
    <t>6.3.</t>
  </si>
  <si>
    <t>6.4.</t>
  </si>
  <si>
    <t>6.4.1.</t>
  </si>
  <si>
    <t>6.4.2.</t>
  </si>
  <si>
    <t>6.4.3.</t>
  </si>
  <si>
    <t>6.4.4.</t>
  </si>
  <si>
    <t>6.4.5.</t>
  </si>
  <si>
    <t>6.4.6.</t>
  </si>
  <si>
    <t>6.4.7.</t>
  </si>
  <si>
    <t>6.4.8.</t>
  </si>
  <si>
    <t>6.4.9.</t>
  </si>
  <si>
    <t>6.5.</t>
  </si>
  <si>
    <t>6.5.1.</t>
  </si>
  <si>
    <t>6.5.2.</t>
  </si>
  <si>
    <t>6.5.3.</t>
  </si>
  <si>
    <t>6.5.4.</t>
  </si>
  <si>
    <t>6.5.5.</t>
  </si>
  <si>
    <t>6.5.6.</t>
  </si>
  <si>
    <t>6.5.7.</t>
  </si>
  <si>
    <t>6.5.8.</t>
  </si>
  <si>
    <t>6.5.9.</t>
  </si>
  <si>
    <t>6.6.</t>
  </si>
  <si>
    <t>6.6.1.</t>
  </si>
  <si>
    <t>6.6.2.</t>
  </si>
  <si>
    <t>6.6.3.</t>
  </si>
  <si>
    <t>6.6.4.</t>
  </si>
  <si>
    <t>6.6.5.</t>
  </si>
  <si>
    <t>6.6.6.</t>
  </si>
  <si>
    <t>6.6.7.</t>
  </si>
  <si>
    <t>6.6.8.</t>
  </si>
  <si>
    <t>6.6.9.</t>
  </si>
  <si>
    <t>6.7.</t>
  </si>
  <si>
    <t>6.7.1.</t>
  </si>
  <si>
    <t>6.7.2.</t>
  </si>
  <si>
    <t>6.7.3.</t>
  </si>
  <si>
    <t>6.7.4.</t>
  </si>
  <si>
    <t>6.7.5.</t>
  </si>
  <si>
    <t>6.7.6.</t>
  </si>
  <si>
    <t>6.7.7.</t>
  </si>
  <si>
    <t>6.7.8.</t>
  </si>
  <si>
    <t>6.7.9.</t>
  </si>
  <si>
    <t>7.1.1.</t>
  </si>
  <si>
    <t>7.1.2.</t>
  </si>
  <si>
    <t>7.1.3.</t>
  </si>
  <si>
    <t>7.1.4.</t>
  </si>
  <si>
    <t>7.1.5.</t>
  </si>
  <si>
    <t>7.1.6.</t>
  </si>
  <si>
    <t>7.1.7.</t>
  </si>
  <si>
    <t>7.1.8.</t>
  </si>
  <si>
    <t>7.1.9.</t>
  </si>
  <si>
    <t>7.2.</t>
  </si>
  <si>
    <t>7.2.1.</t>
  </si>
  <si>
    <t>7.2.2.</t>
  </si>
  <si>
    <t>7.2.3.</t>
  </si>
  <si>
    <t>7.2.4.</t>
  </si>
  <si>
    <t>7.2.5.</t>
  </si>
  <si>
    <t>7.2.6.</t>
  </si>
  <si>
    <t>7.3.</t>
  </si>
  <si>
    <t>7.3.1.</t>
  </si>
  <si>
    <t>7.3.2.</t>
  </si>
  <si>
    <t>7.3.3.</t>
  </si>
  <si>
    <t>7.3.4.</t>
  </si>
  <si>
    <t>7.3.5.</t>
  </si>
  <si>
    <t>7.3.6.</t>
  </si>
  <si>
    <t>7.3.7.</t>
  </si>
  <si>
    <t>5.1.1.</t>
  </si>
  <si>
    <t>5.1.2.</t>
  </si>
  <si>
    <t>5.1.3.</t>
  </si>
  <si>
    <t>5.1.4.</t>
  </si>
  <si>
    <t>5.1.5.</t>
  </si>
  <si>
    <t>5.1.6.</t>
  </si>
  <si>
    <t>5.1.7.</t>
  </si>
  <si>
    <t>5.1.8.</t>
  </si>
  <si>
    <t>5.1.9.</t>
  </si>
  <si>
    <t>5.1.10.</t>
  </si>
  <si>
    <t>5.1.11.</t>
  </si>
  <si>
    <t>INFORMACIJA APIE VERSLO IDĖJĄ</t>
  </si>
  <si>
    <t>INFORMACIJA APIE ILGALAIKĮ TURTĄ, EUR</t>
  </si>
  <si>
    <t>ESAMA SITUACIJA (IŠSKYRUS FINANSINĘ) IR PROGNOZUOJAMAS POKYTIS PO PARAMOS GAVIMO</t>
  </si>
  <si>
    <t>Skyriaus Nr.</t>
  </si>
  <si>
    <t>9.1.</t>
  </si>
  <si>
    <t>9.2.</t>
  </si>
  <si>
    <t>9.3.</t>
  </si>
  <si>
    <t>Rausvas langelis reiškia, kad duomenys yra neteisingai ar tik dalinai įvesti. Jei žalsvame stulpelyje "Pastabos" gaunamas pranešimas  "Klaida! ...", jame nurodomas klaidos pobūdis.</t>
  </si>
  <si>
    <t>Dokumento antraštė</t>
  </si>
  <si>
    <t>Neplanuojama. Prognozuojamu laikotarpiu nematerialiojo ir ilgalaikio materialiojo turto perleidimo pelnas (nuostolis) atsispindi 9.3.2.8 arba 9.3.2.9 eil.</t>
  </si>
  <si>
    <t>GRYNASIS PELNAS (NUOSTOLIAI)</t>
  </si>
  <si>
    <t>Auksinės spalvos langelis reiškia, kad atkreitumėte dėmesį ir pasitikrintumėte ar duomenys yra tikrai teisingi. Jei redaguotinas laukas, formulė langelyje gali būti ištrinta.</t>
  </si>
  <si>
    <t>20.6. jeigu vietos projekte numatytos investicijos naujo verslo kūrimui arba esamo verslo plėtrai (įskaitant bendruomeninį ir socialinį verslą), prie vietos projekto paraiškos turi būti pateikiamas vietos projekto verslo planas, įrodantis, kad būsimas naujas verslas arba plėtojamas esamas verslas yra ekonomiškai gyvybingas, t. y. vietos projekto verslo planas turi atitikti ekonominio gyvybingumo kriterijus ir jų reikšmes, nustatytas Taisyklių 20.6.1–20.6.4 papunkčiuose (bendradarbiavimo vietos projektų atveju, ekonominio gyvybingumo rodiklius turi atitikti pareiškėjas ir partneris). Ekonominio gyvybingumo rodiklių skaičiavimo nuostatos ir formulės yra nustatytos Ūkio subjektų, siekiančių pasinaudoti parama pagal Lietuvos kaimo plėtros 2014–2020 metų programos ir Lietuvos žemės ūkio ir kaimo plėtros 2023–2027 m. strateginio plano priemones, ekonominio gyvybingumo nustatymo taisyklėse, patvirtintose Lietuvos Respublikos žemės ūkio ministro 2014 m. liepos 28 d. įsakymu Nr. 3D-440 „Dėl Ūkio subjektų, siekiančių pasinaudoti parama pagal Lietuvos kaimo plėtros 2014–2020 metų programos ir Lietuvos žemės ūkio ir kaimo plėtros 2023–2027 m. strateginio plano priemones, ekonominio gyvybingumo nustatymo taisyklių patvirtinimo“ (toliau – Ekonominio gyvybingumo nustatymo taisyklės):</t>
  </si>
  <si>
    <t>20.6.1. bendruomeninio ir socialinio verslo plėtros atveju – grynojo pelningumo, kurio reikšmė ≥ 1 proc., ir skolos, kurios reikšmė ≤ 0,65. Ataskaitiniais arba vienais iš dvejų eilės tvarka einančių praėjusių ataskaitinių metų (pasirinktinai) skaičiuojami grynojo pelningumo ir skolos rodikliai (abu turi būti skaičiuojami pagal tų pačių metų duomenis). Vietos projekto kontrolės laikotarpiu skaičiuojami grynojo pelningumo ir skolos rodikliai;</t>
  </si>
  <si>
    <t>20.6.2. bendruomeninio ir socialinio verslo pradžios atveju – grynojo pelningumo, kurio reikšmė ≥ 1, skolos, kurios reikšmė ≤ 0,65. Vietos projekto kontrolės laikotarpiu skaičiuojami grynojo pelningumo ir skolos rodikliai. Verslo pradžia laikoma, kai pareiškėjas yra įsteigtas paramos paraiškos pateikimo metais arba ataskaitiniais metais. Verslo pradžia gali būti laikoma pareiškėjo anksčiau pradėjusio vykdyti verslą, nei paraiškos pateikimo arba ataskaitiniais metais, veikla, jei iki paraiškos pateikimo metų iš projekte numatytos vykdyti ekonominės veiklos pagal ERVK nėra gavęs jokių pajamų;</t>
  </si>
  <si>
    <t>20.6.4.   verslo, neįvardyto Taisyklių 20.6.2 papunktyje, pradžios atveju – grynojo pelningumo, kurio reikšmė ≥ 0 proc., skolos, kurios reikšmė ≤ 0,65, paskolų padengimo, kurio reikšmė ≥ 1,25 ir einamojo likvidumo koeficiento, kurio reikšmė ≥ 1. Vietos projekto kontrolės laikotarpiu skaičiuojami skolos, grynojo pelningumo, paskolų padengimo ir einamojo likvidumo koeficiento rodikliai;</t>
  </si>
  <si>
    <t>Pagal Vietos projektų, įgyvendinamų bendruomenių inicijuotos vietos plėtros būdu, administravimo taisykles:</t>
  </si>
  <si>
    <t>9.1.2.2.</t>
  </si>
  <si>
    <t>9.1.5.</t>
  </si>
  <si>
    <t>9.1.5.1.</t>
  </si>
  <si>
    <t>9.1.5.2.</t>
  </si>
  <si>
    <t>9.1.5.3</t>
  </si>
  <si>
    <t>9.1.5.4</t>
  </si>
  <si>
    <t>9.1.5.5</t>
  </si>
  <si>
    <t>9.1.5.6</t>
  </si>
  <si>
    <t>9.1.6.</t>
  </si>
  <si>
    <t>9.1.6.1.</t>
  </si>
  <si>
    <t>9.1.6.2.</t>
  </si>
  <si>
    <t>9.1.7.</t>
  </si>
  <si>
    <t>9.1.8.</t>
  </si>
  <si>
    <t>9.1.9.</t>
  </si>
  <si>
    <t>9.1.9.1.</t>
  </si>
  <si>
    <t>9.1.9.2.</t>
  </si>
  <si>
    <t>9.1.9.3.</t>
  </si>
  <si>
    <t>9.1.10.</t>
  </si>
  <si>
    <t>9.1.11.</t>
  </si>
  <si>
    <t>9.1.12.</t>
  </si>
  <si>
    <t>9.1.13.</t>
  </si>
  <si>
    <t>9.1.13.1.</t>
  </si>
  <si>
    <t>9.1.13.2.</t>
  </si>
  <si>
    <t>9.1.14.</t>
  </si>
  <si>
    <t>9.1.14.1.</t>
  </si>
  <si>
    <t>9.1.14.2.</t>
  </si>
  <si>
    <t>9.1.14.3.</t>
  </si>
  <si>
    <t>9.1.14.4.</t>
  </si>
  <si>
    <t>9.1.2.1.</t>
  </si>
  <si>
    <t>9.1.2.3.</t>
  </si>
  <si>
    <t>9.1.2.4.</t>
  </si>
  <si>
    <t>9.1.2.5.</t>
  </si>
  <si>
    <t>9.1.2.6.</t>
  </si>
  <si>
    <t>9.1.2.7.</t>
  </si>
  <si>
    <t>9.1.14.5.</t>
  </si>
  <si>
    <t>9.1.15.</t>
  </si>
  <si>
    <t>9.1.15.1.</t>
  </si>
  <si>
    <t>9.1.15.2.</t>
  </si>
  <si>
    <t>9.1.15.3.</t>
  </si>
  <si>
    <t>9.1.15.4.</t>
  </si>
  <si>
    <t>9.1.15.5.</t>
  </si>
  <si>
    <t>9.1.15.6.</t>
  </si>
  <si>
    <t>9.1.15.7.</t>
  </si>
  <si>
    <t>Bendroji informacija</t>
  </si>
  <si>
    <t>Informacija apie verslo idėją</t>
  </si>
  <si>
    <t>Esama situacija (išskyrus finansinę) ir prognozuojamas pokytis po paramos gavimo</t>
  </si>
  <si>
    <t xml:space="preserve">Informacija apie pajamas, produktų ir paslaugų pardavimus, gamybą </t>
  </si>
  <si>
    <t>Informacija apie investicijas ir jų apmokėjimo šaltinius</t>
  </si>
  <si>
    <t>Informacija apie ilgalaikį turtą</t>
  </si>
  <si>
    <t>Informacija apie pareiškėjo veiklos sąnaudas</t>
  </si>
  <si>
    <t>Informacija apie paskolas ir (arba) išperkamąją (finansinę) nuomą (lizingą)</t>
  </si>
  <si>
    <t>Informacija apie ūkio subjekto ekonominio gyvybingumo rodiklius</t>
  </si>
  <si>
    <t>Būdas</t>
  </si>
  <si>
    <t>Formos kodas</t>
  </si>
  <si>
    <t>Formos koregavimo ir pataisymų registras</t>
  </si>
  <si>
    <t>Pataisymas</t>
  </si>
  <si>
    <t>Problema</t>
  </si>
  <si>
    <t>Registravimo data</t>
  </si>
  <si>
    <t>Pataisymo data</t>
  </si>
  <si>
    <t>Pildoma pasirinkus reikšmę iš sąrašo</t>
  </si>
  <si>
    <t>PAJAMOS</t>
  </si>
  <si>
    <t>Finansavimo pajamos</t>
  </si>
  <si>
    <t>Kitos finansavimo pajamos</t>
  </si>
  <si>
    <t>Kitos pajamos</t>
  </si>
  <si>
    <t>SĄNAUDOS</t>
  </si>
  <si>
    <t>Suteiktų paslaugų, parduotų prekių savikaina</t>
  </si>
  <si>
    <t>Kitos sąnaudos</t>
  </si>
  <si>
    <t>Veiklos sąnaudos</t>
  </si>
  <si>
    <t>Pardavimo</t>
  </si>
  <si>
    <t>Darbuotojų išlaikymo</t>
  </si>
  <si>
    <t>Nusidėvėjimo (amortizacijos)</t>
  </si>
  <si>
    <t>VEIKLOS REZULTATAS PRIEŠ APMOKESTINIMĄ</t>
  </si>
  <si>
    <t>PELNO MOKESTIS</t>
  </si>
  <si>
    <t>GRYNASIS VEIKLOS REZULTATAS</t>
  </si>
  <si>
    <t>Nebaigta statyba</t>
  </si>
  <si>
    <t>Atsargos</t>
  </si>
  <si>
    <t>Išankstiniai apmokėjimai</t>
  </si>
  <si>
    <t>Nebaigtos vykdyti sutartys</t>
  </si>
  <si>
    <t>Ataskaitinių metų veiklos rezultatas</t>
  </si>
  <si>
    <t>Ankstesnių metų veiklos rezultatas</t>
  </si>
  <si>
    <t>FINANSAVIMAS</t>
  </si>
  <si>
    <t>Tiksliniai įnašai</t>
  </si>
  <si>
    <t xml:space="preserve">Finansavimo sumos iš valstybės biudžeto </t>
  </si>
  <si>
    <t>Kiti tiksliniai įnašai</t>
  </si>
  <si>
    <t>Nario mokesčiai</t>
  </si>
  <si>
    <t>Kitas finansavimas</t>
  </si>
  <si>
    <t>ILGALAIKIAI ĮSIPAREIGOJIMAI</t>
  </si>
  <si>
    <t>Finansinės skolos</t>
  </si>
  <si>
    <t>Kiti ilgalaikiai įsipareigojimai</t>
  </si>
  <si>
    <t>TRUMPALAIKIAI ĮSIPAREIGOJIMAI</t>
  </si>
  <si>
    <t>Gauti išankstiniai apmokėjimai</t>
  </si>
  <si>
    <t>Kiti trumpalaikiai įsipareigojimai</t>
  </si>
  <si>
    <t>Ilgalaikių skolų einamųjų metų dalis</t>
  </si>
  <si>
    <t>Balanso prognozės, Eur</t>
  </si>
  <si>
    <t>Pelno (nuostolių) ataskaitos prognozės, Eur</t>
  </si>
  <si>
    <t>Pinigų srautų ataskaitos prognozės, Eur</t>
  </si>
  <si>
    <t>Jei NVO Balanso straipsnyje "Finansinis turtas" apskaitomas turtas susijęs su atsiskaitymais, jo pokyčiai Pinigų srautuose priskiriami ne pagrindinei, o investicinei veiklai.</t>
  </si>
  <si>
    <t>PAGRINDINĖS VEIKLOS PINIGŲ SRAUTAI</t>
  </si>
  <si>
    <t>I.</t>
  </si>
  <si>
    <t>Įplaukos</t>
  </si>
  <si>
    <t>I.1.</t>
  </si>
  <si>
    <t>Finansavimo sumos kitoms išlaidoms ir atsargoms:</t>
  </si>
  <si>
    <t>I.1.1.</t>
  </si>
  <si>
    <t>iš valstybės biudžeto</t>
  </si>
  <si>
    <t>I.1.2.</t>
  </si>
  <si>
    <t>iš ES, užsienio valstybių ir tarptautinių organizacijų</t>
  </si>
  <si>
    <t>I.1.3.</t>
  </si>
  <si>
    <t>iš kitų šaltinių</t>
  </si>
  <si>
    <t>I.2.</t>
  </si>
  <si>
    <t>iš mokesčių</t>
  </si>
  <si>
    <t>I.3.</t>
  </si>
  <si>
    <t>iš socialinių įmokų</t>
  </si>
  <si>
    <t>I.4.</t>
  </si>
  <si>
    <t>už suteiktas paslaugas</t>
  </si>
  <si>
    <t>I.5.</t>
  </si>
  <si>
    <t xml:space="preserve">gautos palūkanos </t>
  </si>
  <si>
    <t>I.6.</t>
  </si>
  <si>
    <t>kitos įplaukos</t>
  </si>
  <si>
    <t>II.</t>
  </si>
  <si>
    <t>Pervestos lėšos</t>
  </si>
  <si>
    <t>III.</t>
  </si>
  <si>
    <t>Išmokos</t>
  </si>
  <si>
    <t>III.1.</t>
  </si>
  <si>
    <t>bendrų valstybės paslaugų:</t>
  </si>
  <si>
    <t>III.2.</t>
  </si>
  <si>
    <t>gynybos</t>
  </si>
  <si>
    <t>III.3.</t>
  </si>
  <si>
    <t>viešosios tvarkos ir visuomenės apsaugos</t>
  </si>
  <si>
    <t>III.4.</t>
  </si>
  <si>
    <t>ekonomikos</t>
  </si>
  <si>
    <t>III.5.</t>
  </si>
  <si>
    <t>aplinkos apsaugos</t>
  </si>
  <si>
    <t>III.6.</t>
  </si>
  <si>
    <t>būsto ir komunalinio ūkio</t>
  </si>
  <si>
    <t>III.7.</t>
  </si>
  <si>
    <t>sveikatos apsaugos</t>
  </si>
  <si>
    <t>III.8.</t>
  </si>
  <si>
    <t>susijusios su poilsiu, kultūra ir religija</t>
  </si>
  <si>
    <t>III.9.</t>
  </si>
  <si>
    <t>švietimo</t>
  </si>
  <si>
    <t>III.10.</t>
  </si>
  <si>
    <t>socialinės apsaugos</t>
  </si>
  <si>
    <t>INVESTICINĖS VEIKLOS PINIGŲ SRAUTAI</t>
  </si>
  <si>
    <t>Ilgalaikio turto (išskyrus finansinį) ir biologinio turto įsigijimas</t>
  </si>
  <si>
    <t>Ilgalaikio turto (išskyrus finansinį) ir biologinio turto perleidimas</t>
  </si>
  <si>
    <t>Ilgalaikio finansinio turto įsigijimas</t>
  </si>
  <si>
    <t>IV.</t>
  </si>
  <si>
    <t>Ilgalaikio finansinio turto perleidimas</t>
  </si>
  <si>
    <t>V.</t>
  </si>
  <si>
    <t>Terminuotųjų indėlių (padidėjimas) sumažėjimas</t>
  </si>
  <si>
    <t>VI.</t>
  </si>
  <si>
    <t>Gauti dividendai</t>
  </si>
  <si>
    <t>VII.</t>
  </si>
  <si>
    <t>Kiti investicinės veiklos pinigų srautai</t>
  </si>
  <si>
    <t>FINANSINĖS VEIKLOS PINIGŲ SRAUTAI</t>
  </si>
  <si>
    <t>Įplaukos iš gautų paskolų</t>
  </si>
  <si>
    <t>Gautų paskolų grąžinimas</t>
  </si>
  <si>
    <t>Finansinės nuomos (lizingo) įsipareigojimų apmokėjimas</t>
  </si>
  <si>
    <t>Gautos finansavimo sumos ilgalaikiam ir biologiniam turtui įsigyti</t>
  </si>
  <si>
    <t>Grąžintos finansavimo sumos ilgalaikiam ir biologiniam turtui įsigyti</t>
  </si>
  <si>
    <t>Gauti dalininko įnašai</t>
  </si>
  <si>
    <t>Kiti finansinės veiklos pinigų srautai</t>
  </si>
  <si>
    <t>VALIUTOS KURSŲ PASIKEITIMO ĮTAKA PINIGŲ IR PINIGŲ EKVIVALENTŲ LIKUČIUI</t>
  </si>
  <si>
    <t>Pinigų ir pinigų ekvivalentų padidėjimas (sumažėjimas)</t>
  </si>
  <si>
    <t>Pinigai ir pinigų ekvivalentai ataskaitinio laikotarpio pradžioje</t>
  </si>
  <si>
    <t>Pinigai ir pinigų ekvivalentai ataskaitinio laikotarpio pabaigoje</t>
  </si>
  <si>
    <t>Gauta išperkamosios nuomos suma</t>
  </si>
  <si>
    <t>DALININKŲ KAPITALAS</t>
  </si>
  <si>
    <t>NELIEČIAMSIS KAPITALAS</t>
  </si>
  <si>
    <t>SUKAUPTAS VEIKLOS REZULTATAS</t>
  </si>
  <si>
    <t>KITI REZERVAI</t>
  </si>
  <si>
    <t>Pajamos už suteiktas paslaugas, parduotas prekes</t>
  </si>
  <si>
    <t xml:space="preserve">Finansavimo sumų iš valstybės biudžeto panaudojimo pajamos </t>
  </si>
  <si>
    <t>3.3.</t>
  </si>
  <si>
    <t>3.4.</t>
  </si>
  <si>
    <t>Patalpų išlaikymo</t>
  </si>
  <si>
    <t>3.5.</t>
  </si>
  <si>
    <t>Ryšių</t>
  </si>
  <si>
    <t>3.6.</t>
  </si>
  <si>
    <t>Transporto išlaikymo</t>
  </si>
  <si>
    <t>3.7.</t>
  </si>
  <si>
    <t>Turto vertės sumažėjimo</t>
  </si>
  <si>
    <t>3.8.</t>
  </si>
  <si>
    <t>Kitos veiklos</t>
  </si>
  <si>
    <t>3.9.</t>
  </si>
  <si>
    <t>Suteiktos labdaros, paramos</t>
  </si>
  <si>
    <t>3.10.</t>
  </si>
  <si>
    <t>Dėl ankstesnių laikotarpių klaidų taisymo</t>
  </si>
  <si>
    <t>Patentai, licencijos</t>
  </si>
  <si>
    <t>Programinė įranga</t>
  </si>
  <si>
    <t>Kitas nematerialusis turtas</t>
  </si>
  <si>
    <t>Kita įranga, prietaisai, įrankiai ir įrenginiai</t>
  </si>
  <si>
    <t>Kitas  materialusis turtas</t>
  </si>
  <si>
    <t>Po vienerių metų gautinos sumos</t>
  </si>
  <si>
    <t>Kitas finansinis turtas</t>
  </si>
  <si>
    <t>ATSARGOS, IŠANKSTINIAI APMOKĖJIMAI IR NEBAIGTOS VYKDYTI SUTARTYS</t>
  </si>
  <si>
    <t>PER VIENERIUS METUS GAUTINOS SUMOS</t>
  </si>
  <si>
    <t>Pirkėjų įsiskolinimas</t>
  </si>
  <si>
    <t>KITAS TRUMPALAIKIS TURTAS</t>
  </si>
  <si>
    <t>Trumpalaikės investicijos</t>
  </si>
  <si>
    <t>Terminuoti indėliai</t>
  </si>
  <si>
    <t>Kitas trumpalaikis turtas</t>
  </si>
  <si>
    <t>TURTAS, IŠ VISO</t>
  </si>
  <si>
    <t>VEIKLOS REZULTATAS</t>
  </si>
  <si>
    <t>Dotacija</t>
  </si>
  <si>
    <t>NUOSAVAS KAPITALAS, FINANSAVIMAS IR ĮSIPAREIGOJIMAI, IŠ VISO</t>
  </si>
  <si>
    <r>
      <t xml:space="preserve">Finansinės ir investicinės veiklos sąnaudos, </t>
    </r>
    <r>
      <rPr>
        <sz val="9"/>
        <color rgb="FF00B050"/>
        <rFont val="Times New Roman"/>
        <family val="1"/>
        <charset val="186"/>
      </rPr>
      <t>išskyrus palūkanas</t>
    </r>
  </si>
  <si>
    <t>8.3.4.1.</t>
  </si>
  <si>
    <t>8.3.5.</t>
  </si>
  <si>
    <t>8.3.1.</t>
  </si>
  <si>
    <t>8.3.2.</t>
  </si>
  <si>
    <t>8.3.3.</t>
  </si>
  <si>
    <t>8.3.4.</t>
  </si>
  <si>
    <t>8.2.6.1.</t>
  </si>
  <si>
    <t>8.2.7.</t>
  </si>
  <si>
    <t>8.2.6.</t>
  </si>
  <si>
    <t>8.2.5.</t>
  </si>
  <si>
    <t>8.2.1.</t>
  </si>
  <si>
    <t>8.2.1.1.</t>
  </si>
  <si>
    <t>8.2.1.2.</t>
  </si>
  <si>
    <t>8.2.2.</t>
  </si>
  <si>
    <t>8.2.3.</t>
  </si>
  <si>
    <t>8.2.4.</t>
  </si>
  <si>
    <t>iš jo, ilgalaikių paskolų dalis grąžinama per ateinančius kalendorinius metus</t>
  </si>
  <si>
    <t>iš jo, išperkamosios nuomos dalis mokama per ateinančius kalendorinius metus</t>
  </si>
  <si>
    <t>Tikslinga papildyti paskolomis gautomis einamaisiais metais</t>
  </si>
  <si>
    <t>8.1.</t>
  </si>
  <si>
    <t>8.2.</t>
  </si>
  <si>
    <t>8.3.</t>
  </si>
  <si>
    <t>Įskaitant ilgalaikį biologinį turtą.</t>
  </si>
  <si>
    <t>Problema nėra kritinė. Pinigų srautuose pinigų likutis skaičiuojamas teisingai, tačiau pagrindinės veiklos pinigų srautas, gali būti atvaizduotas neteisingai. Jei NVO būtų skaičiuojamas paskolų padengimo rodiklis, FA formas reikėtų tikslinti.</t>
  </si>
  <si>
    <t>7.4.</t>
  </si>
  <si>
    <t>7.4.1.</t>
  </si>
  <si>
    <t>Pareiškėjas</t>
  </si>
  <si>
    <t>Verslo subjektai</t>
  </si>
  <si>
    <t>Asociacijos ir viešosios įstaigos</t>
  </si>
  <si>
    <t>Finansinės investicinės veiklos sąnaudos:</t>
  </si>
  <si>
    <t>Atkreipkite dėmesį! Formulė ataskaitiniais metais gali būti ištrinta ir įrašyti duomenys iš apskaitos.</t>
  </si>
  <si>
    <t>Naudojami paramos išmokėjimo būdai</t>
  </si>
  <si>
    <t>Taip</t>
  </si>
  <si>
    <t>Taip ar Ne</t>
  </si>
  <si>
    <t>Ne</t>
  </si>
  <si>
    <t>Pasirinkti</t>
  </si>
  <si>
    <t>Taikymas</t>
  </si>
  <si>
    <t>Meniu_Būdas</t>
  </si>
  <si>
    <t>L2</t>
  </si>
  <si>
    <t>Papildytas Parametrų lapas: Galima pasirinkti taikomus paramos būdus</t>
  </si>
  <si>
    <t>Gali būti taikomi ne visi paramos būdai</t>
  </si>
  <si>
    <t xml:space="preserve">Forma </t>
  </si>
  <si>
    <t>(Verslo plano pagal Lietuvos žemės ūkio ir kaimo plėtros 2023–2027 metų strateginio plano intervencinę  priemonę „Bendruomenių inicijuota vietos plėtra (LEADER)“ forma)</t>
  </si>
  <si>
    <t>Adresas, e. paštas, telefono Nr.</t>
  </si>
  <si>
    <r>
      <t xml:space="preserve">Užpildžius 4 skyrių, vykdomų veiklų sąrašas sudaromas automatiškai (automatiškai neužsipildys, jei naudojate senesnes </t>
    </r>
    <r>
      <rPr>
        <i/>
        <sz val="9"/>
        <rFont val="Calibri"/>
        <family val="2"/>
        <charset val="186"/>
        <scheme val="minor"/>
      </rPr>
      <t>Excel</t>
    </r>
    <r>
      <rPr>
        <sz val="9"/>
        <rFont val="Calibri"/>
        <family val="2"/>
        <charset val="186"/>
        <scheme val="minor"/>
      </rPr>
      <t xml:space="preserve"> versijas).</t>
    </r>
  </si>
  <si>
    <t>Pildoma pasirinkus reikšmę iš sąrašo.</t>
  </si>
  <si>
    <t>Apibūdinama esama ir planuojama ekonominė veikla. Nurodoma, ką ketinama gaminti ir (arba) kokias paslaugas ketinama teikti. Apibūdinamos planuojamų gaminti prekių ir (arba) teikti paslaugų savybės. Paaiškinama, kokią įtaką projekto investicijos turės vykdomai ekonominei veiklai ir jos rezultatams. Jei planuojama vykdyti socialinį verslą, pateikiama informacija, kaip projektas prisideda prie pareiškėjo socialinio verslo tikslų pasiekimo, kokias ir kokiu būdu sprendžia socialines problemas.
Nurodomi, kokie bus reikalingi leidimai ir/arba licencijos įgyvendinus projektą (jei numatomam verslui vykdyti jie privalomi).</t>
  </si>
  <si>
    <t>Darbo užmokesčio sąnaudos ataskaitiniais metais įvedamos remiantis finansinės atskaitomybės duomenimis.</t>
  </si>
  <si>
    <t>Nurodomas ilgalaikis turtas, susijęs su vykdoma veikla, projekto investicijomis ir ūkio gamybiniu potencialu. Nurodomas materialusis, įskaitant nekilnojamąjį, turtas. Nurodykite tik tą turtą, kuris yra susijęs su projekto investicijomis (kartu naudojamas gamybos ir (arba) paslaugų teikimo procese, taip pat nekilnojamas turtas, kuriame bus laikomos projekto investicijos).</t>
  </si>
  <si>
    <t>Jei sutartis neterminuota, nuomos / panaudos termino įvesti nereikia.</t>
  </si>
  <si>
    <t>Pateikiama informacija apie planuojamų parduoti prekių ir (arba) paslaugų pirkėjus / klientus. Glaustai apibūdinami pagrindinių rinkos segmentų požymiai, pirkėjų / kleintų poreikiai, kokioms prekėms / paslaugoms jie teikia prioritetą, kiek pareiškėjo gaminamos prekės ir (arba) teikiamos paslaugos atitinka pirkėjų / klientų poreikius. Apbūdinamos galimos rinkos kitimo tendencijos.</t>
  </si>
  <si>
    <t>Gaminamo produkto pavadinimas.</t>
  </si>
  <si>
    <t>Veiklos kodas ir pavadinimas pagal EVRK (pvz., 10.32. Vaisių, uogų ir daržovių sulčių gamyba).</t>
  </si>
  <si>
    <t>Stulpelyje " Matavimo vnt." pasirenkama  tinkama matavimo vieneto reikšmė iš sąrašo.</t>
  </si>
  <si>
    <t>Rekomenduojama: nurodomas visas pagamintas kiekis, kaip parduodamas, nebent dalis pagamintos produkcijos sunaudojama kitų produktų gamybai.</t>
  </si>
  <si>
    <t>Rekomenduojama: kainos prognozuojamu laikotarpiu neturėtų būti didinamos (infliacijos įtaka nevertinama). Jei kainų pokyčiai dėl pareiškėjo kainodaros sprendimų prognozuojami, juos reikia pagrįsti ir paaiškinti.</t>
  </si>
  <si>
    <t>Paaiškinimas rašomas tik tuo atveju, kai kainos ir (ar) pardavimo kiekiai keičiasi.</t>
  </si>
  <si>
    <t>Teikiamos paslaugos pavadinimas.</t>
  </si>
  <si>
    <t>Kitos veiklos pavadinimas.</t>
  </si>
  <si>
    <t>Paramos išmokėjimas už I etapą, data ir suma</t>
  </si>
  <si>
    <t>Paramos išmokėjimas už II etapą, data ir suma</t>
  </si>
  <si>
    <t>Paramos išmokėjimas už III etapą, data ir suma</t>
  </si>
  <si>
    <t>Paramos išmokėjimas už IV etapą, data ir suma</t>
  </si>
  <si>
    <t>Kompensavimo su avansu atveju į paramos sumą įskaičiuojamas avansas.</t>
  </si>
  <si>
    <t>Prašomos paramos dydis turi sutapti su duomenimis paraiškoje.</t>
  </si>
  <si>
    <t>Automatiškai priskiriamos visos darbo užmokečio sąnaudos (3.1.1. lentelė). Jei dalis šių sąnaudų buvo priskirtos ne pardavimų savikainai, jos įvedamos atskirai.</t>
  </si>
  <si>
    <r>
      <t>Automatiškai priskiriamos visos nusidėvėjimo sąnaudos (6</t>
    </r>
    <r>
      <rPr>
        <sz val="9"/>
        <color rgb="FFFF0000"/>
        <rFont val="Calibri"/>
        <family val="2"/>
        <charset val="186"/>
        <scheme val="minor"/>
      </rPr>
      <t xml:space="preserve"> </t>
    </r>
    <r>
      <rPr>
        <sz val="9"/>
        <color theme="1"/>
        <rFont val="Calibri"/>
        <family val="2"/>
        <charset val="186"/>
        <scheme val="minor"/>
      </rPr>
      <t>lentelė). Jei dalis šių sąnaudų buvo priskirtos ne pardavimų savikainai, jos įvedamos atskirai. Prognozuojamais metais visos priskaičiuotos sąnaudos priskiriamos tų metų sąnaudoms.</t>
    </r>
  </si>
  <si>
    <t>Išskiriama išperkamosios nuomos dalis, mokama per ateinančius kalendorinius metus.</t>
  </si>
  <si>
    <t>Išskiriama ilgalaikių paskolų dalis, grąžinama per ateinančius kalendorinius metus.</t>
  </si>
  <si>
    <t>Paskolos, kurių grąžinimo trukmė pagal sutartį, iki 1 metų.</t>
  </si>
  <si>
    <t>Paskolos, kurių grąžinimo trukmė pagal sutartį, ilgesnė nei 1 metai.</t>
  </si>
  <si>
    <t>Pateikiama informacija apie pareiškėjo turimas paskolas iš kredito ir ne kredito įstaigų, taip pat išperkamąją nuomą (lizingą) ataskaitinių metų pabaigoje.</t>
  </si>
  <si>
    <t>PO VIENŲ METŲ MOKĖTINOS SUMOS IR KITI ILGALAIKIAI ĮSIPAREIGOJIMAI</t>
  </si>
  <si>
    <t>PER VIENUS METUS MOKĖTINOS SUMOS IR KITI TRUMPALAIKIAI ĮSIPAREIGOJIMAI</t>
  </si>
  <si>
    <t>Pagal turto pobūdį priskirkite kitai materialaus turto grupei (6 skyrius), pvz., grupei "Pastatai ir statiniai".</t>
  </si>
  <si>
    <t>Įskaitant ilgalaikį materialųjį turtą, skirtą parduoti.</t>
  </si>
  <si>
    <t>Išperkamosios nuomos (lizingo) dalis mokėtina per ateinančius metus.</t>
  </si>
  <si>
    <t>Paaiškinimas reikalingas tik tuomet, kai naudojamas kitoks nei 15 proc. tarifas</t>
  </si>
  <si>
    <t>Paramos suma apskaičiuojama automatiškai, remiantis 5 skyriaus duomenimis (būtina teisingai įvesti paramos dydį ir jos gavimo datą (-as)).</t>
  </si>
  <si>
    <t>Finansinės ir investicinės veiklos pajamos: 1) kitų ilgalaikių investicijų ir paskolų pajamos; 2) kitos palūkanų ir panašios pajamos.</t>
  </si>
  <si>
    <r>
      <rPr>
        <sz val="9"/>
        <color rgb="FFC00000"/>
        <rFont val="Times New Roman"/>
        <family val="1"/>
        <charset val="186"/>
      </rPr>
      <t>Atkreipkite dėmesį!</t>
    </r>
    <r>
      <rPr>
        <sz val="9"/>
        <color theme="1"/>
        <rFont val="Times New Roman"/>
        <family val="1"/>
        <charset val="186"/>
      </rPr>
      <t xml:space="preserve"> Jei Balanso straipsnyje "Finansinis turtas" prognozuojami skirtingo dydžio likučiai, ši pinigų srautų eilutė gali būti skirta pokyčių priežastims atvaizduoti, kitaip balanso lygybė nebus gauta.</t>
    </r>
  </si>
  <si>
    <t>20.6.3.   verslo, neįvardyto Taisyklių 20.6.1 papunktyje, plėtros atveju – grynojo pelningumo, kurio reikšmė ≥ 0 proc., skolos, kurios reikšmė ≤ 0,65, paskolų padengimo, kurio reikšmė ≥ 1,25, ir einamojo likvidumo koeficiento, kurio reikšmė ≥ 1. Ataskaitiniais arba vienais metais iš dviejų eilės tvarka einančių praėjusių ataskaitinių metų (pasirinktinai) skaičiuojami grynojo pelningumo ir skolos rodikliai; abu rodikliai turi būti skaičiuojami pagal tų pačių metų duomenis). Vietos projekto įgyvendinimo laikotarpiu skaičiuojamas paskolų padengimo rodiklis, o vietos projekto kontrolės laikotarpiu skaičiuojami grynojo pelningumo, skolos, paskolų padengimo ir einamojo likvidumo koeficiento rodikliai;</t>
  </si>
  <si>
    <t xml:space="preserve">VERSLO PLANAS 
</t>
  </si>
  <si>
    <t xml:space="preserve">Verslo plane visa informacija rašoma tik į mėlynos spalvos langelius. Privalomai pildomas laukas (pildo vietos projekto pareiškėjas), suvedama prašoma informacija. </t>
  </si>
  <si>
    <t xml:space="preserve">Žalsvos spalvos fone pasirenkama reikšmė iš atverčiamo meniu. Automatizuotas atsakymas, pasirenkamas vienas iš siūlomų variantų (pildo vietos projekto pareiškėjas). Siūlomas variantas pasirenkamas su dešinėje laukelio pusėje esančia rodykle. </t>
  </si>
  <si>
    <t>Pilkos spalvos lengelis užrakintas ir negali būti redaguojamas. Laukas nepildomas. Skaičiavimui suvesta formulė arba tekstas.</t>
  </si>
  <si>
    <t>Baltame fone  gali būti pateikta svarbi informacija, kaip pildyti verslo plano eilutę, arba gali būti gautas pranešimas ar ši eilutė užpildyta teisingai.</t>
  </si>
  <si>
    <t>≥ 1 proc.</t>
  </si>
  <si>
    <t>≥ 0 proc.</t>
  </si>
  <si>
    <t>≤ 0,65</t>
  </si>
  <si>
    <t>≥ 1,25 proc.</t>
  </si>
  <si>
    <t xml:space="preserve"> Nr. FR-2156</t>
  </si>
  <si>
    <t>TEIKIAMAS PAGAL MARIJAMPOLĖS VIETOS VEIKLOS GRUPĖS  PRIEMONĖS "NE ŽEMĖS ŪKIO VERSLO KŪRIMAS IR PLĖTRA“ , NR. MARI-LEADER-20-VVG-03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</si>
</sst>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yyyy/mm/dd;@"/>
    <numFmt numFmtId="165" formatCode="_(* ###0_);_(* \(\ ###0\);_(* &quot;-&quot;??_);_(@_)"/>
    <numFmt numFmtId="166" formatCode="0;\-0;&quot;-&quot;"/>
    <numFmt numFmtId="167" formatCode="_(* #,##0_);_(* \(#,##0\);_(* &quot;-&quot;_);_(@_)"/>
    <numFmt numFmtId="168" formatCode="000"/>
  </numFmts>
  <fonts count="59" x14ac:knownFonts="1">
    <font>
      <sz val="11"/>
      <color theme="1"/>
      <name val="Calibri"/>
      <family val="2"/>
      <charset val="186"/>
      <scheme val="minor"/>
    </font>
    <font>
      <sz val="11"/>
      <color theme="1"/>
      <name val="Calibri"/>
      <family val="2"/>
      <charset val="186"/>
      <scheme val="minor"/>
    </font>
    <font>
      <sz val="11"/>
      <color theme="1"/>
      <name val="Times New Roman"/>
      <family val="1"/>
      <charset val="186"/>
    </font>
    <font>
      <sz val="10"/>
      <color theme="1"/>
      <name val="Times New Roman"/>
      <family val="1"/>
      <charset val="186"/>
    </font>
    <font>
      <b/>
      <sz val="11"/>
      <color theme="1"/>
      <name val="Times New Roman"/>
      <family val="1"/>
      <charset val="186"/>
    </font>
    <font>
      <i/>
      <sz val="11"/>
      <color theme="1"/>
      <name val="Times New Roman"/>
      <family val="1"/>
      <charset val="186"/>
    </font>
    <font>
      <sz val="9"/>
      <color theme="1"/>
      <name val="Times New Roman"/>
      <family val="1"/>
      <charset val="186"/>
    </font>
    <font>
      <i/>
      <sz val="11"/>
      <color rgb="FFFF0000"/>
      <name val="Times New Roman"/>
      <family val="1"/>
      <charset val="186"/>
    </font>
    <font>
      <b/>
      <sz val="9"/>
      <color theme="1"/>
      <name val="Times New Roman"/>
      <family val="1"/>
      <charset val="186"/>
    </font>
    <font>
      <sz val="11"/>
      <color rgb="FFFF0000"/>
      <name val="Times New Roman"/>
      <family val="1"/>
      <charset val="186"/>
    </font>
    <font>
      <i/>
      <sz val="9"/>
      <color rgb="FFFF0000"/>
      <name val="Times New Roman"/>
      <family val="1"/>
      <charset val="186"/>
    </font>
    <font>
      <b/>
      <sz val="10"/>
      <color theme="1"/>
      <name val="Times New Roman"/>
      <family val="1"/>
      <charset val="186"/>
    </font>
    <font>
      <sz val="8"/>
      <name val="Calibri"/>
      <family val="2"/>
      <charset val="186"/>
      <scheme val="minor"/>
    </font>
    <font>
      <i/>
      <sz val="9"/>
      <color theme="1"/>
      <name val="Times New Roman"/>
      <family val="1"/>
      <charset val="186"/>
    </font>
    <font>
      <b/>
      <i/>
      <sz val="9"/>
      <color theme="1"/>
      <name val="Times New Roman"/>
      <family val="1"/>
      <charset val="186"/>
    </font>
    <font>
      <b/>
      <sz val="11"/>
      <color rgb="FFFF0000"/>
      <name val="Times New Roman"/>
      <family val="1"/>
      <charset val="186"/>
    </font>
    <font>
      <b/>
      <sz val="10"/>
      <color rgb="FF000000"/>
      <name val="Times New Roman"/>
      <family val="1"/>
      <charset val="186"/>
    </font>
    <font>
      <sz val="7"/>
      <color theme="0" tint="-0.499984740745262"/>
      <name val="Times New Roman"/>
      <family val="1"/>
      <charset val="186"/>
    </font>
    <font>
      <sz val="9"/>
      <color theme="5" tint="0.39997558519241921"/>
      <name val="Times New Roman"/>
      <family val="1"/>
      <charset val="186"/>
    </font>
    <font>
      <b/>
      <sz val="9"/>
      <color theme="5" tint="0.39997558519241921"/>
      <name val="Times New Roman"/>
      <family val="1"/>
      <charset val="186"/>
    </font>
    <font>
      <sz val="11"/>
      <name val="Times New Roman"/>
      <family val="1"/>
      <charset val="186"/>
    </font>
    <font>
      <sz val="9"/>
      <name val="Times New Roman"/>
      <family val="1"/>
      <charset val="186"/>
    </font>
    <font>
      <sz val="7"/>
      <color theme="1"/>
      <name val="Times New Roman"/>
      <family val="1"/>
      <charset val="186"/>
    </font>
    <font>
      <b/>
      <sz val="11"/>
      <color theme="1"/>
      <name val="Calibri"/>
      <family val="2"/>
      <charset val="186"/>
      <scheme val="minor"/>
    </font>
    <font>
      <b/>
      <sz val="12"/>
      <color theme="1"/>
      <name val="Times New Roman"/>
      <family val="1"/>
      <charset val="186"/>
    </font>
    <font>
      <sz val="9"/>
      <color rgb="FFC00000"/>
      <name val="Times New Roman"/>
      <family val="1"/>
      <charset val="186"/>
    </font>
    <font>
      <b/>
      <sz val="11"/>
      <color rgb="FF000000"/>
      <name val="Calibri"/>
      <family val="2"/>
      <charset val="186"/>
      <scheme val="minor"/>
    </font>
    <font>
      <sz val="11"/>
      <color rgb="FF000000"/>
      <name val="Calibri"/>
      <family val="2"/>
      <charset val="186"/>
      <scheme val="minor"/>
    </font>
    <font>
      <sz val="8"/>
      <color theme="1"/>
      <name val="Calibri"/>
      <family val="2"/>
      <charset val="186"/>
      <scheme val="minor"/>
    </font>
    <font>
      <b/>
      <sz val="12"/>
      <color rgb="FF000000"/>
      <name val="Calibri"/>
      <family val="2"/>
      <charset val="186"/>
      <scheme val="minor"/>
    </font>
    <font>
      <sz val="9"/>
      <color theme="1"/>
      <name val="Calibri"/>
      <family val="2"/>
      <charset val="186"/>
      <scheme val="minor"/>
    </font>
    <font>
      <b/>
      <sz val="11"/>
      <name val="Calibri"/>
      <family val="2"/>
      <charset val="186"/>
      <scheme val="minor"/>
    </font>
    <font>
      <sz val="11"/>
      <name val="Calibri"/>
      <family val="2"/>
      <charset val="186"/>
      <scheme val="minor"/>
    </font>
    <font>
      <b/>
      <sz val="9"/>
      <color theme="1"/>
      <name val="Calibri"/>
      <family val="2"/>
      <charset val="186"/>
      <scheme val="minor"/>
    </font>
    <font>
      <sz val="6"/>
      <color theme="1"/>
      <name val="Times New Roman"/>
      <family val="1"/>
      <charset val="186"/>
    </font>
    <font>
      <sz val="9"/>
      <color rgb="FFC00000"/>
      <name val="Calibri"/>
      <family val="2"/>
      <charset val="186"/>
      <scheme val="minor"/>
    </font>
    <font>
      <sz val="9"/>
      <color rgb="FF0070C0"/>
      <name val="Times New Roman"/>
      <family val="1"/>
      <charset val="186"/>
    </font>
    <font>
      <sz val="10"/>
      <color rgb="FF000000"/>
      <name val="Calibri"/>
      <family val="2"/>
      <charset val="186"/>
      <scheme val="minor"/>
    </font>
    <font>
      <b/>
      <sz val="14"/>
      <color rgb="FF000000"/>
      <name val="Calibri"/>
      <family val="2"/>
      <charset val="186"/>
      <scheme val="minor"/>
    </font>
    <font>
      <vertAlign val="superscript"/>
      <sz val="11"/>
      <color theme="1"/>
      <name val="Calibri"/>
      <family val="2"/>
      <charset val="186"/>
      <scheme val="minor"/>
    </font>
    <font>
      <sz val="9"/>
      <color rgb="FFFF0000"/>
      <name val="Calibri"/>
      <family val="2"/>
      <charset val="186"/>
      <scheme val="minor"/>
    </font>
    <font>
      <b/>
      <sz val="11"/>
      <color theme="4"/>
      <name val="Times New Roman"/>
      <family val="1"/>
      <charset val="186"/>
    </font>
    <font>
      <b/>
      <sz val="9"/>
      <color theme="4"/>
      <name val="Times New Roman"/>
      <family val="1"/>
      <charset val="186"/>
    </font>
    <font>
      <sz val="9"/>
      <color rgb="FF0070C0"/>
      <name val="Calibri"/>
      <family val="2"/>
      <charset val="186"/>
      <scheme val="minor"/>
    </font>
    <font>
      <i/>
      <sz val="9"/>
      <color theme="1"/>
      <name val="Calibri"/>
      <family val="2"/>
      <charset val="186"/>
      <scheme val="minor"/>
    </font>
    <font>
      <b/>
      <sz val="11"/>
      <color theme="0"/>
      <name val="Calibri"/>
      <family val="2"/>
      <charset val="186"/>
      <scheme val="minor"/>
    </font>
    <font>
      <b/>
      <sz val="7"/>
      <color theme="1"/>
      <name val="Times New Roman"/>
      <family val="1"/>
      <charset val="186"/>
    </font>
    <font>
      <sz val="9"/>
      <color theme="5" tint="-0.249977111117893"/>
      <name val="Calibri"/>
      <family val="2"/>
      <charset val="186"/>
      <scheme val="minor"/>
    </font>
    <font>
      <u/>
      <sz val="11"/>
      <color theme="10"/>
      <name val="Calibri"/>
      <family val="2"/>
      <charset val="186"/>
      <scheme val="minor"/>
    </font>
    <font>
      <sz val="9"/>
      <color theme="4"/>
      <name val="Calibri"/>
      <family val="2"/>
      <charset val="186"/>
      <scheme val="minor"/>
    </font>
    <font>
      <sz val="10"/>
      <color theme="1"/>
      <name val="Calibri"/>
      <family val="2"/>
      <charset val="186"/>
      <scheme val="minor"/>
    </font>
    <font>
      <sz val="9"/>
      <name val="Calibri"/>
      <family val="2"/>
      <charset val="186"/>
      <scheme val="minor"/>
    </font>
    <font>
      <sz val="9"/>
      <color theme="5" tint="-0.24994659260841701"/>
      <name val="Times New Roman"/>
      <family val="1"/>
      <charset val="186"/>
    </font>
    <font>
      <i/>
      <sz val="8"/>
      <color theme="1"/>
      <name val="Calibri"/>
      <family val="2"/>
      <charset val="186"/>
      <scheme val="minor"/>
    </font>
    <font>
      <sz val="9"/>
      <color rgb="FF00B050"/>
      <name val="Times New Roman"/>
      <family val="1"/>
      <charset val="186"/>
    </font>
    <font>
      <sz val="11"/>
      <color rgb="FF00B050"/>
      <name val="Calibri"/>
      <family val="2"/>
      <charset val="186"/>
      <scheme val="minor"/>
    </font>
    <font>
      <sz val="11"/>
      <color rgb="FFFF0000"/>
      <name val="Calibri"/>
      <family val="2"/>
      <charset val="186"/>
      <scheme val="minor"/>
    </font>
    <font>
      <i/>
      <sz val="9"/>
      <name val="Calibri"/>
      <family val="2"/>
      <charset val="186"/>
      <scheme val="minor"/>
    </font>
    <font>
      <sz val="11"/>
      <color rgb="FF000000"/>
      <name val="Calibri"/>
      <family val="2"/>
    </font>
  </fonts>
  <fills count="12">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CDCD"/>
        <bgColor indexed="64"/>
      </patternFill>
    </fill>
    <fill>
      <patternFill patternType="solid">
        <fgColor rgb="FFFFF0D2"/>
        <bgColor indexed="64"/>
      </patternFill>
    </fill>
    <fill>
      <patternFill patternType="solid">
        <fgColor theme="1"/>
        <bgColor indexed="64"/>
      </patternFill>
    </fill>
    <fill>
      <patternFill patternType="solid">
        <fgColor rgb="FFFFE69B"/>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s>
  <borders count="40">
    <border>
      <left/>
      <right/>
      <top/>
      <bottom/>
      <diagonal/>
    </border>
    <border>
      <left/>
      <right/>
      <top/>
      <bottom style="hair">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style="double">
        <color indexed="64"/>
      </top>
      <bottom/>
      <diagonal/>
    </border>
    <border>
      <left/>
      <right style="thin">
        <color indexed="64"/>
      </right>
      <top style="double">
        <color indexed="64"/>
      </top>
      <bottom style="thin">
        <color indexed="64"/>
      </bottom>
      <diagonal/>
    </border>
    <border>
      <left/>
      <right style="thin">
        <color indexed="64"/>
      </right>
      <top/>
      <bottom/>
      <diagonal/>
    </border>
    <border>
      <left style="thin">
        <color indexed="64"/>
      </left>
      <right style="thin">
        <color theme="5" tint="0.39997558519241921"/>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double">
        <color indexed="64"/>
      </bottom>
      <diagonal/>
    </border>
    <border>
      <left style="thin">
        <color auto="1"/>
      </left>
      <right/>
      <top/>
      <bottom/>
      <diagonal/>
    </border>
    <border>
      <left style="thin">
        <color indexed="64"/>
      </left>
      <right/>
      <top style="double">
        <color indexed="64"/>
      </top>
      <bottom/>
      <diagonal/>
    </border>
    <border>
      <left style="thin">
        <color indexed="64"/>
      </left>
      <right style="thin">
        <color theme="5" tint="0.39997558519241921"/>
      </right>
      <top style="double">
        <color indexed="64"/>
      </top>
      <bottom style="double">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s>
  <cellStyleXfs count="3">
    <xf numFmtId="0" fontId="0" fillId="0" borderId="0"/>
    <xf numFmtId="9" fontId="1" fillId="0" borderId="0" applyFont="0" applyFill="0" applyBorder="0" applyAlignment="0" applyProtection="0"/>
    <xf numFmtId="0" fontId="48" fillId="0" borderId="0" applyNumberFormat="0" applyFill="0" applyBorder="0" applyAlignment="0" applyProtection="0"/>
  </cellStyleXfs>
  <cellXfs count="538">
    <xf numFmtId="0" fontId="0" fillId="0" borderId="0" xfId="0"/>
    <xf numFmtId="0" fontId="2" fillId="0" borderId="0" xfId="0" applyFont="1" applyAlignment="1">
      <alignment vertical="top" wrapText="1"/>
    </xf>
    <xf numFmtId="0" fontId="4" fillId="0" borderId="0" xfId="0" applyFont="1" applyAlignment="1">
      <alignment vertical="top"/>
    </xf>
    <xf numFmtId="0" fontId="2" fillId="0" borderId="0" xfId="0" applyFont="1" applyAlignment="1">
      <alignment vertical="top"/>
    </xf>
    <xf numFmtId="0" fontId="2" fillId="0" borderId="0" xfId="0" applyFont="1" applyAlignment="1" applyProtection="1">
      <alignment vertical="top"/>
      <protection locked="0"/>
    </xf>
    <xf numFmtId="0" fontId="5" fillId="0" borderId="0" xfId="0" applyFont="1" applyAlignment="1">
      <alignment vertical="top"/>
    </xf>
    <xf numFmtId="0" fontId="4" fillId="0" borderId="0" xfId="0" applyFont="1" applyAlignment="1" applyProtection="1">
      <alignment horizontal="left" vertical="top"/>
      <protection locked="0"/>
    </xf>
    <xf numFmtId="0" fontId="4" fillId="0" borderId="0" xfId="0" applyFont="1" applyAlignment="1">
      <alignment horizontal="left" vertical="top"/>
    </xf>
    <xf numFmtId="0" fontId="2" fillId="0" borderId="0" xfId="0" applyFont="1" applyAlignment="1">
      <alignment horizontal="left" vertical="center"/>
    </xf>
    <xf numFmtId="0" fontId="2" fillId="0" borderId="0" xfId="0" applyFont="1" applyAlignment="1">
      <alignment horizontal="center" vertical="center"/>
    </xf>
    <xf numFmtId="0" fontId="2" fillId="0" borderId="0" xfId="0" applyFont="1" applyAlignment="1" applyProtection="1">
      <alignment horizontal="left" vertical="top"/>
      <protection locked="0"/>
    </xf>
    <xf numFmtId="0" fontId="2" fillId="0" borderId="0" xfId="0" applyFont="1" applyAlignment="1">
      <alignment horizontal="left" vertical="top"/>
    </xf>
    <xf numFmtId="0" fontId="7" fillId="0" borderId="0" xfId="0" applyFont="1" applyAlignment="1" applyProtection="1">
      <alignment horizontal="left" vertical="top"/>
      <protection locked="0"/>
    </xf>
    <xf numFmtId="0" fontId="6" fillId="0" borderId="3" xfId="0" applyFont="1" applyBorder="1" applyAlignment="1">
      <alignment horizontal="left" vertical="center" wrapText="1"/>
    </xf>
    <xf numFmtId="0" fontId="6" fillId="0" borderId="3" xfId="0" applyFont="1" applyBorder="1" applyAlignment="1">
      <alignment horizontal="center" vertical="center" wrapText="1"/>
    </xf>
    <xf numFmtId="0" fontId="7" fillId="0" borderId="0" xfId="0" applyFont="1" applyAlignment="1">
      <alignment horizontal="left" vertical="top"/>
    </xf>
    <xf numFmtId="0" fontId="9" fillId="0" borderId="0" xfId="0" applyFont="1" applyAlignment="1" applyProtection="1">
      <alignment horizontal="left" vertical="top"/>
      <protection locked="0"/>
    </xf>
    <xf numFmtId="0" fontId="9" fillId="0" borderId="0" xfId="0" applyFont="1" applyAlignment="1">
      <alignment horizontal="left" vertical="top"/>
    </xf>
    <xf numFmtId="0" fontId="6" fillId="0" borderId="3" xfId="0" applyFont="1" applyBorder="1" applyAlignment="1">
      <alignment vertical="center" wrapText="1"/>
    </xf>
    <xf numFmtId="0" fontId="6" fillId="0" borderId="0" xfId="0" applyFont="1" applyAlignment="1" applyProtection="1">
      <alignment horizontal="left" vertical="top"/>
      <protection locked="0"/>
    </xf>
    <xf numFmtId="0" fontId="6" fillId="0" borderId="0" xfId="0" applyFont="1" applyAlignment="1">
      <alignment horizontal="left" vertical="top"/>
    </xf>
    <xf numFmtId="0" fontId="6" fillId="0" borderId="3" xfId="0" applyFont="1" applyBorder="1" applyAlignment="1">
      <alignment horizontal="left" vertical="center"/>
    </xf>
    <xf numFmtId="0" fontId="6" fillId="0" borderId="9" xfId="0" applyFont="1" applyBorder="1" applyAlignment="1">
      <alignment horizontal="left" vertical="center" wrapText="1"/>
    </xf>
    <xf numFmtId="0" fontId="10" fillId="0" borderId="0" xfId="0" applyFont="1" applyAlignment="1">
      <alignment horizontal="left" vertical="top"/>
    </xf>
    <xf numFmtId="0" fontId="6" fillId="0" borderId="5" xfId="0" applyFont="1" applyBorder="1" applyAlignment="1">
      <alignment horizontal="left" vertical="center" wrapText="1"/>
    </xf>
    <xf numFmtId="0" fontId="3" fillId="0" borderId="0" xfId="0" applyFont="1" applyAlignment="1" applyProtection="1">
      <alignment horizontal="left" vertical="top"/>
      <protection locked="0"/>
    </xf>
    <xf numFmtId="0" fontId="3" fillId="0" borderId="0" xfId="0" applyFont="1" applyAlignment="1">
      <alignment horizontal="left" vertical="top"/>
    </xf>
    <xf numFmtId="0" fontId="6" fillId="0" borderId="3" xfId="0" applyFont="1" applyBorder="1" applyAlignment="1">
      <alignment horizontal="left" vertical="top"/>
    </xf>
    <xf numFmtId="0" fontId="5" fillId="0" borderId="0" xfId="0" applyFont="1" applyAlignment="1">
      <alignment horizontal="left" vertical="top"/>
    </xf>
    <xf numFmtId="0" fontId="13" fillId="0" borderId="3" xfId="0" applyFont="1" applyBorder="1" applyAlignment="1">
      <alignment horizontal="left" vertical="top"/>
    </xf>
    <xf numFmtId="0" fontId="13" fillId="0" borderId="13" xfId="0" applyFont="1" applyBorder="1" applyAlignment="1">
      <alignment horizontal="left" vertical="top"/>
    </xf>
    <xf numFmtId="0" fontId="4" fillId="0" borderId="0" xfId="0" applyFont="1" applyAlignment="1" applyProtection="1">
      <alignment vertical="top"/>
      <protection locked="0"/>
    </xf>
    <xf numFmtId="0" fontId="15" fillId="0" borderId="0" xfId="0" applyFont="1" applyAlignment="1" applyProtection="1">
      <alignment horizontal="left" vertical="top"/>
      <protection locked="0"/>
    </xf>
    <xf numFmtId="0" fontId="2" fillId="0" borderId="15" xfId="0" applyFont="1" applyBorder="1" applyAlignment="1">
      <alignment vertical="center"/>
    </xf>
    <xf numFmtId="0" fontId="2" fillId="0" borderId="3" xfId="0" applyFont="1" applyBorder="1" applyAlignment="1">
      <alignment vertical="center"/>
    </xf>
    <xf numFmtId="0" fontId="9" fillId="0" borderId="0" xfId="0" applyFont="1" applyAlignment="1">
      <alignment vertical="top"/>
    </xf>
    <xf numFmtId="0" fontId="6" fillId="0" borderId="3" xfId="0" applyFont="1" applyBorder="1" applyAlignment="1">
      <alignment horizontal="left" vertical="top" wrapText="1"/>
    </xf>
    <xf numFmtId="2" fontId="2" fillId="0" borderId="0" xfId="0" applyNumberFormat="1" applyFont="1" applyAlignment="1">
      <alignment horizontal="left" vertical="top"/>
    </xf>
    <xf numFmtId="0" fontId="17" fillId="0" borderId="0" xfId="0" applyFont="1" applyAlignment="1">
      <alignment horizontal="right" vertical="center" wrapText="1"/>
    </xf>
    <xf numFmtId="165" fontId="17" fillId="0" borderId="0" xfId="0" applyNumberFormat="1" applyFont="1" applyAlignment="1">
      <alignment horizontal="right" vertical="center"/>
    </xf>
    <xf numFmtId="0" fontId="15" fillId="0" borderId="0" xfId="0" applyFont="1" applyAlignment="1" applyProtection="1">
      <alignment vertical="top"/>
      <protection locked="0"/>
    </xf>
    <xf numFmtId="0" fontId="6" fillId="0" borderId="6" xfId="0" applyFont="1" applyBorder="1" applyAlignment="1">
      <alignment horizontal="center" vertical="center" wrapText="1"/>
    </xf>
    <xf numFmtId="2" fontId="2" fillId="0" borderId="0" xfId="0" applyNumberFormat="1" applyFont="1" applyAlignment="1" applyProtection="1">
      <alignment vertical="top"/>
      <protection locked="0"/>
    </xf>
    <xf numFmtId="0" fontId="9" fillId="0" borderId="0" xfId="0" applyFont="1" applyAlignment="1" applyProtection="1">
      <alignment vertical="top"/>
      <protection locked="0"/>
    </xf>
    <xf numFmtId="0" fontId="6" fillId="0" borderId="3" xfId="0" applyFont="1" applyBorder="1" applyAlignment="1">
      <alignment vertical="center"/>
    </xf>
    <xf numFmtId="0" fontId="7" fillId="0" borderId="0" xfId="0" applyFont="1" applyAlignment="1">
      <alignment vertical="top"/>
    </xf>
    <xf numFmtId="0" fontId="20" fillId="0" borderId="0" xfId="0" applyFont="1" applyAlignment="1" applyProtection="1">
      <alignment vertical="top"/>
      <protection locked="0"/>
    </xf>
    <xf numFmtId="0" fontId="5" fillId="0" borderId="0" xfId="0" applyFont="1" applyAlignment="1" applyProtection="1">
      <alignment horizontal="right" vertical="top"/>
      <protection locked="0"/>
    </xf>
    <xf numFmtId="0" fontId="5" fillId="0" borderId="0" xfId="0" applyFont="1" applyAlignment="1">
      <alignment horizontal="right" vertical="top"/>
    </xf>
    <xf numFmtId="49" fontId="2" fillId="0" borderId="0" xfId="0" applyNumberFormat="1" applyFont="1" applyAlignment="1" applyProtection="1">
      <alignment vertical="top"/>
      <protection locked="0"/>
    </xf>
    <xf numFmtId="0" fontId="6" fillId="0" borderId="15" xfId="0" applyFont="1" applyBorder="1" applyAlignment="1">
      <alignment horizontal="left" vertical="center"/>
    </xf>
    <xf numFmtId="0" fontId="6" fillId="0" borderId="15" xfId="0" applyFont="1" applyBorder="1" applyAlignment="1">
      <alignment horizontal="left" vertical="center" wrapText="1"/>
    </xf>
    <xf numFmtId="49" fontId="9" fillId="0" borderId="0" xfId="0" applyNumberFormat="1" applyFont="1" applyAlignment="1" applyProtection="1">
      <alignment vertical="top"/>
      <protection locked="0"/>
    </xf>
    <xf numFmtId="0" fontId="21" fillId="0" borderId="3" xfId="0" applyFont="1" applyBorder="1" applyAlignment="1">
      <alignment horizontal="left" vertical="center" wrapText="1"/>
    </xf>
    <xf numFmtId="0" fontId="6" fillId="0" borderId="15" xfId="0" applyFont="1" applyBorder="1" applyAlignment="1">
      <alignment vertical="center"/>
    </xf>
    <xf numFmtId="1" fontId="9" fillId="0" borderId="0" xfId="0" applyNumberFormat="1" applyFont="1" applyAlignment="1" applyProtection="1">
      <alignment vertical="top"/>
      <protection locked="0"/>
    </xf>
    <xf numFmtId="1" fontId="6" fillId="0" borderId="13" xfId="0" applyNumberFormat="1" applyFont="1" applyBorder="1" applyAlignment="1">
      <alignment horizontal="center" vertical="center"/>
    </xf>
    <xf numFmtId="4" fontId="6" fillId="0" borderId="3" xfId="0" applyNumberFormat="1" applyFont="1" applyBorder="1" applyAlignment="1">
      <alignment horizontal="center" vertical="center" wrapText="1"/>
    </xf>
    <xf numFmtId="0" fontId="24" fillId="0" borderId="0" xfId="0" applyFont="1" applyAlignment="1">
      <alignment horizontal="center" vertical="center"/>
    </xf>
    <xf numFmtId="0" fontId="24" fillId="0" borderId="0" xfId="0" applyFont="1"/>
    <xf numFmtId="0" fontId="23" fillId="0" borderId="0" xfId="0" applyFont="1"/>
    <xf numFmtId="0" fontId="23" fillId="0" borderId="0" xfId="0" applyFont="1" applyAlignment="1">
      <alignment horizontal="left" vertical="top" wrapText="1"/>
    </xf>
    <xf numFmtId="0" fontId="0" fillId="0" borderId="0" xfId="0" applyAlignment="1">
      <alignment vertical="center"/>
    </xf>
    <xf numFmtId="0" fontId="0" fillId="0" borderId="0" xfId="0" applyAlignment="1">
      <alignment vertical="center" wrapText="1"/>
    </xf>
    <xf numFmtId="0" fontId="0" fillId="0" borderId="3" xfId="0" applyBorder="1" applyAlignment="1">
      <alignment horizontal="left" vertical="top" wrapText="1"/>
    </xf>
    <xf numFmtId="0" fontId="0" fillId="0" borderId="0" xfId="0" applyAlignment="1">
      <alignment horizontal="center" vertical="center"/>
    </xf>
    <xf numFmtId="0" fontId="0" fillId="0" borderId="0" xfId="0" applyAlignment="1">
      <alignment horizontal="left" vertical="top"/>
    </xf>
    <xf numFmtId="0" fontId="0" fillId="0" borderId="0" xfId="0" applyAlignment="1">
      <alignment horizontal="left" vertical="top" wrapText="1"/>
    </xf>
    <xf numFmtId="0" fontId="0" fillId="0" borderId="15" xfId="0" applyBorder="1" applyAlignment="1">
      <alignment horizontal="left" vertical="top" wrapText="1"/>
    </xf>
    <xf numFmtId="0" fontId="28" fillId="0" borderId="0" xfId="0" applyFont="1" applyAlignment="1">
      <alignment horizontal="center" vertical="top" wrapText="1"/>
    </xf>
    <xf numFmtId="0" fontId="28" fillId="0" borderId="26" xfId="0" applyFont="1" applyBorder="1" applyAlignment="1">
      <alignment horizontal="center" vertical="top" wrapText="1"/>
    </xf>
    <xf numFmtId="0" fontId="0" fillId="0" borderId="3" xfId="0" applyBorder="1" applyAlignment="1">
      <alignment horizontal="left" vertical="center" wrapText="1"/>
    </xf>
    <xf numFmtId="0" fontId="28" fillId="0" borderId="0" xfId="0" applyFont="1" applyAlignment="1">
      <alignment horizontal="center" vertical="top"/>
    </xf>
    <xf numFmtId="0" fontId="0" fillId="0" borderId="4" xfId="0" applyBorder="1" applyAlignment="1">
      <alignment vertical="top" wrapText="1"/>
    </xf>
    <xf numFmtId="0" fontId="23" fillId="0" borderId="3" xfId="0" applyFont="1" applyBorder="1" applyAlignment="1">
      <alignment horizontal="center" vertical="center" wrapText="1"/>
    </xf>
    <xf numFmtId="0" fontId="0" fillId="0" borderId="14" xfId="0" applyBorder="1" applyAlignment="1">
      <alignment vertical="top" wrapText="1"/>
    </xf>
    <xf numFmtId="0" fontId="0" fillId="0" borderId="13" xfId="0" applyBorder="1" applyAlignment="1">
      <alignment horizontal="left" vertical="top" wrapText="1"/>
    </xf>
    <xf numFmtId="2" fontId="6" fillId="0" borderId="3" xfId="0" applyNumberFormat="1" applyFont="1" applyBorder="1" applyAlignment="1">
      <alignment vertical="center"/>
    </xf>
    <xf numFmtId="9" fontId="2" fillId="0" borderId="0" xfId="1" applyFont="1" applyAlignment="1" applyProtection="1">
      <alignment horizontal="center" vertical="top"/>
      <protection locked="0"/>
    </xf>
    <xf numFmtId="0" fontId="31" fillId="0" borderId="3" xfId="0" applyFont="1" applyBorder="1" applyAlignment="1">
      <alignment horizontal="left" vertical="top" wrapText="1"/>
    </xf>
    <xf numFmtId="0" fontId="0" fillId="0" borderId="0" xfId="0" applyAlignment="1">
      <alignment horizontal="left" vertical="center"/>
    </xf>
    <xf numFmtId="0" fontId="8" fillId="0" borderId="0" xfId="0" applyFont="1" applyAlignment="1">
      <alignment horizontal="center" vertical="center"/>
    </xf>
    <xf numFmtId="0" fontId="6" fillId="0" borderId="0" xfId="0" applyFont="1" applyAlignment="1">
      <alignment horizontal="center" vertical="center"/>
    </xf>
    <xf numFmtId="2" fontId="6" fillId="0" borderId="0" xfId="0" applyNumberFormat="1" applyFont="1" applyAlignment="1">
      <alignment horizontal="center" vertical="center"/>
    </xf>
    <xf numFmtId="0" fontId="34" fillId="0" borderId="0" xfId="0" applyFont="1" applyAlignment="1">
      <alignment horizontal="left" vertical="center" wrapText="1"/>
    </xf>
    <xf numFmtId="2" fontId="6" fillId="0" borderId="0" xfId="0" applyNumberFormat="1" applyFont="1" applyAlignment="1">
      <alignment horizontal="left" vertical="center"/>
    </xf>
    <xf numFmtId="167" fontId="6" fillId="2" borderId="3" xfId="0" applyNumberFormat="1" applyFont="1" applyFill="1" applyBorder="1" applyAlignment="1" applyProtection="1">
      <alignment horizontal="right" vertical="center"/>
      <protection locked="0"/>
    </xf>
    <xf numFmtId="167" fontId="6" fillId="0" borderId="15" xfId="0" applyNumberFormat="1" applyFont="1" applyBorder="1" applyAlignment="1">
      <alignment horizontal="right" vertical="center"/>
    </xf>
    <xf numFmtId="167" fontId="6" fillId="0" borderId="3" xfId="0" applyNumberFormat="1" applyFont="1" applyBorder="1" applyAlignment="1">
      <alignment vertical="center"/>
    </xf>
    <xf numFmtId="0" fontId="30" fillId="3" borderId="0" xfId="0" applyFont="1" applyFill="1" applyAlignment="1">
      <alignment horizontal="left" vertical="center"/>
    </xf>
    <xf numFmtId="4" fontId="6" fillId="0" borderId="9" xfId="0" applyNumberFormat="1" applyFont="1" applyBorder="1" applyAlignment="1">
      <alignment horizontal="center" vertical="center" wrapText="1"/>
    </xf>
    <xf numFmtId="4" fontId="6" fillId="0" borderId="23" xfId="0" applyNumberFormat="1" applyFont="1" applyBorder="1" applyAlignment="1">
      <alignment horizontal="center" vertical="center" wrapText="1"/>
    </xf>
    <xf numFmtId="0" fontId="6" fillId="0" borderId="17" xfId="0" applyFont="1" applyBorder="1" applyAlignment="1">
      <alignment horizontal="left" vertical="center"/>
    </xf>
    <xf numFmtId="4" fontId="6" fillId="0" borderId="17" xfId="0" applyNumberFormat="1" applyFont="1" applyBorder="1" applyAlignment="1">
      <alignment horizontal="center" vertical="center" wrapText="1"/>
    </xf>
    <xf numFmtId="0" fontId="6" fillId="0" borderId="0" xfId="0" applyFont="1" applyAlignment="1">
      <alignment horizontal="left" vertical="center"/>
    </xf>
    <xf numFmtId="0" fontId="8" fillId="0" borderId="0" xfId="0" applyFont="1" applyAlignment="1">
      <alignment horizontal="left" vertical="center"/>
    </xf>
    <xf numFmtId="0" fontId="30" fillId="0" borderId="0" xfId="0" applyFont="1" applyAlignment="1">
      <alignment horizontal="center" vertical="center"/>
    </xf>
    <xf numFmtId="0" fontId="36" fillId="0" borderId="0" xfId="0" applyFont="1" applyAlignment="1">
      <alignment horizontal="center" vertical="center"/>
    </xf>
    <xf numFmtId="0" fontId="6" fillId="0" borderId="19" xfId="0" applyFont="1" applyBorder="1" applyAlignment="1">
      <alignment horizontal="left" vertical="center"/>
    </xf>
    <xf numFmtId="0" fontId="6" fillId="0" borderId="8" xfId="0" applyFont="1" applyBorder="1" applyAlignment="1">
      <alignment horizontal="left" vertical="center"/>
    </xf>
    <xf numFmtId="0" fontId="6" fillId="0" borderId="17" xfId="0" applyFont="1" applyBorder="1" applyAlignment="1">
      <alignment vertical="center"/>
    </xf>
    <xf numFmtId="0" fontId="36" fillId="0" borderId="3" xfId="0" applyFont="1" applyBorder="1" applyAlignment="1">
      <alignment horizontal="center" vertical="center"/>
    </xf>
    <xf numFmtId="0" fontId="6" fillId="0" borderId="16" xfId="0" applyFont="1" applyBorder="1" applyAlignment="1">
      <alignment vertical="center"/>
    </xf>
    <xf numFmtId="0" fontId="6" fillId="0" borderId="16" xfId="0" applyFont="1" applyBorder="1" applyAlignment="1">
      <alignment horizontal="left" vertical="center"/>
    </xf>
    <xf numFmtId="4" fontId="6" fillId="0" borderId="16" xfId="0" applyNumberFormat="1" applyFont="1" applyBorder="1" applyAlignment="1">
      <alignment horizontal="center" vertical="center" wrapText="1"/>
    </xf>
    <xf numFmtId="0" fontId="6" fillId="0" borderId="13" xfId="0" applyFont="1" applyBorder="1" applyAlignment="1">
      <alignment horizontal="left" vertical="center"/>
    </xf>
    <xf numFmtId="0" fontId="2" fillId="0" borderId="13" xfId="0" applyFont="1" applyBorder="1" applyAlignment="1">
      <alignment vertical="center"/>
    </xf>
    <xf numFmtId="0" fontId="2" fillId="0" borderId="29" xfId="0" applyFont="1" applyBorder="1" applyAlignment="1">
      <alignment vertical="top"/>
    </xf>
    <xf numFmtId="167" fontId="6" fillId="0" borderId="3" xfId="0" applyNumberFormat="1" applyFont="1" applyBorder="1" applyAlignment="1">
      <alignment horizontal="center" vertical="center"/>
    </xf>
    <xf numFmtId="167" fontId="9" fillId="0" borderId="0" xfId="0" applyNumberFormat="1" applyFont="1" applyAlignment="1" applyProtection="1">
      <alignment vertical="top"/>
      <protection locked="0"/>
    </xf>
    <xf numFmtId="167" fontId="2" fillId="0" borderId="0" xfId="0" applyNumberFormat="1" applyFont="1" applyAlignment="1">
      <alignment vertical="top"/>
    </xf>
    <xf numFmtId="0" fontId="2" fillId="0" borderId="29" xfId="0" applyFont="1" applyBorder="1" applyAlignment="1">
      <alignment horizontal="left" vertical="top"/>
    </xf>
    <xf numFmtId="0" fontId="6" fillId="0" borderId="12" xfId="0" applyFont="1" applyBorder="1" applyAlignment="1">
      <alignment horizontal="left" vertical="center"/>
    </xf>
    <xf numFmtId="0" fontId="6" fillId="0" borderId="13" xfId="0" applyFont="1" applyBorder="1" applyAlignment="1">
      <alignment horizontal="left" vertical="top" wrapText="1"/>
    </xf>
    <xf numFmtId="0" fontId="6" fillId="0" borderId="12" xfId="0" applyFont="1" applyBorder="1" applyAlignment="1">
      <alignment horizontal="left" vertical="top" wrapText="1"/>
    </xf>
    <xf numFmtId="0" fontId="2" fillId="0" borderId="30" xfId="0" applyFont="1" applyBorder="1" applyAlignment="1">
      <alignment horizontal="left" vertical="top"/>
    </xf>
    <xf numFmtId="0" fontId="4" fillId="0" borderId="7" xfId="0" applyFont="1" applyBorder="1" applyAlignment="1">
      <alignment horizontal="left" vertical="top"/>
    </xf>
    <xf numFmtId="0" fontId="6" fillId="0" borderId="31" xfId="0" applyFont="1" applyBorder="1" applyAlignment="1">
      <alignment horizontal="left" vertical="center"/>
    </xf>
    <xf numFmtId="0" fontId="6" fillId="0" borderId="13" xfId="0" applyFont="1" applyBorder="1" applyAlignment="1">
      <alignment horizontal="left" vertical="top"/>
    </xf>
    <xf numFmtId="0" fontId="6" fillId="0" borderId="12" xfId="0" applyFont="1" applyBorder="1" applyAlignment="1">
      <alignment horizontal="left" vertical="top"/>
    </xf>
    <xf numFmtId="0" fontId="6" fillId="0" borderId="31" xfId="0" applyFont="1" applyBorder="1" applyAlignment="1">
      <alignment horizontal="left" vertical="top"/>
    </xf>
    <xf numFmtId="0" fontId="6" fillId="0" borderId="15" xfId="0" applyFont="1" applyBorder="1" applyAlignment="1">
      <alignment horizontal="left" vertical="top" wrapText="1"/>
    </xf>
    <xf numFmtId="167" fontId="2" fillId="0" borderId="0" xfId="0" applyNumberFormat="1" applyFont="1" applyAlignment="1" applyProtection="1">
      <alignment vertical="top"/>
      <protection locked="0"/>
    </xf>
    <xf numFmtId="2" fontId="6" fillId="0" borderId="3" xfId="0" applyNumberFormat="1" applyFont="1" applyBorder="1" applyAlignment="1">
      <alignment horizontal="right" vertical="center" indent="1"/>
    </xf>
    <xf numFmtId="0" fontId="30" fillId="3" borderId="0" xfId="0" applyFont="1" applyFill="1" applyAlignment="1">
      <alignment vertical="center"/>
    </xf>
    <xf numFmtId="0" fontId="6" fillId="0" borderId="32" xfId="0" applyFont="1" applyBorder="1" applyAlignment="1">
      <alignment horizontal="left" vertical="center"/>
    </xf>
    <xf numFmtId="0" fontId="23" fillId="6" borderId="3" xfId="0" applyFont="1" applyFill="1" applyBorder="1" applyAlignment="1">
      <alignment horizontal="left" vertical="top" wrapText="1"/>
    </xf>
    <xf numFmtId="0" fontId="23" fillId="6" borderId="6" xfId="0" applyFont="1" applyFill="1" applyBorder="1" applyAlignment="1">
      <alignment horizontal="left" vertical="top" wrapText="1"/>
    </xf>
    <xf numFmtId="0" fontId="6" fillId="6" borderId="13" xfId="0" applyFont="1" applyFill="1" applyBorder="1" applyAlignment="1">
      <alignment horizontal="center" vertical="center"/>
    </xf>
    <xf numFmtId="0" fontId="6" fillId="6" borderId="13" xfId="0" applyFont="1" applyFill="1" applyBorder="1" applyAlignment="1">
      <alignment horizontal="center" vertical="center" wrapText="1"/>
    </xf>
    <xf numFmtId="0" fontId="4" fillId="6" borderId="0" xfId="0" applyFont="1" applyFill="1" applyAlignment="1">
      <alignment horizontal="left"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6" borderId="3" xfId="0" applyFont="1" applyFill="1" applyBorder="1" applyAlignment="1">
      <alignment vertical="center"/>
    </xf>
    <xf numFmtId="0" fontId="8" fillId="6" borderId="3" xfId="0" applyFont="1" applyFill="1" applyBorder="1" applyAlignment="1">
      <alignment vertical="center" wrapText="1"/>
    </xf>
    <xf numFmtId="0" fontId="8" fillId="6" borderId="3" xfId="0" applyFont="1" applyFill="1" applyBorder="1" applyAlignment="1">
      <alignment horizontal="center" vertical="center" wrapText="1"/>
    </xf>
    <xf numFmtId="0" fontId="8" fillId="6" borderId="13" xfId="0" applyFont="1" applyFill="1" applyBorder="1" applyAlignment="1">
      <alignment vertical="center"/>
    </xf>
    <xf numFmtId="0" fontId="8" fillId="6" borderId="13" xfId="0" applyFont="1" applyFill="1" applyBorder="1" applyAlignment="1">
      <alignment vertical="center" wrapText="1"/>
    </xf>
    <xf numFmtId="0" fontId="8" fillId="6" borderId="13" xfId="0" applyFont="1" applyFill="1" applyBorder="1" applyAlignment="1">
      <alignment horizontal="center" vertical="center" wrapText="1"/>
    </xf>
    <xf numFmtId="0" fontId="4" fillId="6" borderId="0" xfId="0" applyFont="1" applyFill="1" applyAlignment="1">
      <alignment horizontal="left" vertical="top"/>
    </xf>
    <xf numFmtId="0" fontId="4" fillId="6" borderId="0" xfId="0" applyFont="1" applyFill="1" applyAlignment="1">
      <alignment vertical="top"/>
    </xf>
    <xf numFmtId="0" fontId="4" fillId="6" borderId="6" xfId="0" applyFont="1" applyFill="1" applyBorder="1" applyAlignment="1">
      <alignment horizontal="left" vertical="top"/>
    </xf>
    <xf numFmtId="0" fontId="4" fillId="6" borderId="6" xfId="0" applyFont="1" applyFill="1" applyBorder="1" applyAlignment="1">
      <alignment vertical="top"/>
    </xf>
    <xf numFmtId="0" fontId="4" fillId="6" borderId="3" xfId="0" applyFont="1" applyFill="1" applyBorder="1" applyAlignment="1">
      <alignment vertical="top"/>
    </xf>
    <xf numFmtId="0" fontId="2" fillId="6" borderId="13" xfId="0" applyFont="1" applyFill="1" applyBorder="1" applyAlignment="1">
      <alignment horizontal="center" vertical="center" wrapText="1"/>
    </xf>
    <xf numFmtId="0" fontId="6" fillId="6" borderId="24" xfId="0" applyFont="1" applyFill="1" applyBorder="1" applyAlignment="1">
      <alignment horizontal="right" vertical="center"/>
    </xf>
    <xf numFmtId="0" fontId="6" fillId="6" borderId="3" xfId="0" applyFont="1" applyFill="1" applyBorder="1" applyAlignment="1">
      <alignment horizontal="right" vertical="center" wrapText="1"/>
    </xf>
    <xf numFmtId="0" fontId="6" fillId="6" borderId="3" xfId="0" applyFont="1" applyFill="1" applyBorder="1" applyAlignment="1">
      <alignment horizontal="right" vertical="center"/>
    </xf>
    <xf numFmtId="0" fontId="8" fillId="6" borderId="3" xfId="0" applyFont="1" applyFill="1" applyBorder="1" applyAlignment="1">
      <alignment horizontal="left" vertical="center" wrapText="1"/>
    </xf>
    <xf numFmtId="0" fontId="6" fillId="6" borderId="15" xfId="0" applyFont="1" applyFill="1" applyBorder="1" applyAlignment="1">
      <alignment horizontal="right" vertical="center"/>
    </xf>
    <xf numFmtId="0" fontId="6" fillId="6" borderId="3" xfId="0" applyFont="1" applyFill="1" applyBorder="1" applyAlignment="1">
      <alignment horizontal="left" vertical="center" wrapText="1"/>
    </xf>
    <xf numFmtId="0" fontId="8" fillId="6" borderId="0" xfId="0" applyFont="1" applyFill="1" applyAlignment="1">
      <alignment horizontal="left" vertical="top"/>
    </xf>
    <xf numFmtId="0" fontId="6" fillId="6" borderId="15" xfId="0" applyFont="1" applyFill="1" applyBorder="1" applyAlignment="1">
      <alignment horizontal="left" vertical="top"/>
    </xf>
    <xf numFmtId="0" fontId="6" fillId="6" borderId="3" xfId="0" applyFont="1" applyFill="1" applyBorder="1" applyAlignment="1">
      <alignment horizontal="left" vertical="top"/>
    </xf>
    <xf numFmtId="167" fontId="13" fillId="6" borderId="21" xfId="0" applyNumberFormat="1" applyFont="1" applyFill="1" applyBorder="1" applyAlignment="1">
      <alignment horizontal="left" vertical="top"/>
    </xf>
    <xf numFmtId="0" fontId="8" fillId="6" borderId="15" xfId="0" applyFont="1" applyFill="1" applyBorder="1" applyAlignment="1">
      <alignment horizontal="left" vertical="center"/>
    </xf>
    <xf numFmtId="0" fontId="8" fillId="6" borderId="18" xfId="0" applyFont="1" applyFill="1" applyBorder="1" applyAlignment="1">
      <alignment horizontal="left" vertical="center" wrapText="1"/>
    </xf>
    <xf numFmtId="0" fontId="8" fillId="6" borderId="0" xfId="0" applyFont="1" applyFill="1" applyAlignment="1">
      <alignment horizontal="left" vertical="center"/>
    </xf>
    <xf numFmtId="0" fontId="8" fillId="6" borderId="0" xfId="0" applyFont="1" applyFill="1" applyAlignment="1">
      <alignment horizontal="left" vertical="center" wrapText="1"/>
    </xf>
    <xf numFmtId="3" fontId="8" fillId="6" borderId="0" xfId="0" applyNumberFormat="1" applyFont="1" applyFill="1" applyAlignment="1">
      <alignment horizontal="right" vertical="center"/>
    </xf>
    <xf numFmtId="0" fontId="4" fillId="6" borderId="8" xfId="0" applyFont="1" applyFill="1" applyBorder="1" applyAlignment="1">
      <alignment vertical="top"/>
    </xf>
    <xf numFmtId="0" fontId="3" fillId="6" borderId="3" xfId="0" applyFont="1" applyFill="1" applyBorder="1" applyAlignment="1">
      <alignment horizontal="center" vertical="center" wrapText="1"/>
    </xf>
    <xf numFmtId="2" fontId="2" fillId="6" borderId="29" xfId="0" applyNumberFormat="1" applyFont="1" applyFill="1" applyBorder="1" applyAlignment="1">
      <alignment vertical="top"/>
    </xf>
    <xf numFmtId="0" fontId="4" fillId="6" borderId="7" xfId="0" applyFont="1" applyFill="1" applyBorder="1" applyAlignment="1">
      <alignment horizontal="left" vertical="top"/>
    </xf>
    <xf numFmtId="0" fontId="4" fillId="6" borderId="8" xfId="0" applyFont="1" applyFill="1" applyBorder="1" applyAlignment="1">
      <alignment horizontal="left" vertical="top"/>
    </xf>
    <xf numFmtId="0" fontId="16" fillId="6" borderId="0" xfId="0" applyFont="1" applyFill="1" applyAlignment="1">
      <alignment vertical="top" wrapText="1"/>
    </xf>
    <xf numFmtId="0" fontId="18" fillId="6" borderId="15" xfId="0" applyFont="1" applyFill="1" applyBorder="1" applyAlignment="1">
      <alignment horizontal="left" vertical="center"/>
    </xf>
    <xf numFmtId="0" fontId="8" fillId="6" borderId="7" xfId="0" applyFont="1" applyFill="1" applyBorder="1" applyAlignment="1">
      <alignment horizontal="left" vertical="center" wrapText="1"/>
    </xf>
    <xf numFmtId="167" fontId="19" fillId="6" borderId="20" xfId="0" applyNumberFormat="1" applyFont="1" applyFill="1" applyBorder="1" applyAlignment="1">
      <alignment horizontal="right" vertical="center"/>
    </xf>
    <xf numFmtId="167" fontId="19" fillId="6" borderId="2" xfId="0" applyNumberFormat="1" applyFont="1" applyFill="1" applyBorder="1" applyAlignment="1">
      <alignment horizontal="right" vertical="center"/>
    </xf>
    <xf numFmtId="0" fontId="8" fillId="6" borderId="3" xfId="0" applyFont="1" applyFill="1" applyBorder="1" applyAlignment="1">
      <alignment horizontal="left" vertical="center"/>
    </xf>
    <xf numFmtId="0" fontId="6" fillId="6" borderId="3" xfId="0" applyFont="1" applyFill="1" applyBorder="1" applyAlignment="1">
      <alignment vertical="center" wrapText="1"/>
    </xf>
    <xf numFmtId="0" fontId="8" fillId="6" borderId="7" xfId="0" applyFont="1" applyFill="1" applyBorder="1" applyAlignment="1">
      <alignment vertical="center"/>
    </xf>
    <xf numFmtId="167" fontId="8" fillId="6" borderId="8" xfId="0" applyNumberFormat="1" applyFont="1" applyFill="1" applyBorder="1" applyAlignment="1">
      <alignment horizontal="right" vertical="center"/>
    </xf>
    <xf numFmtId="0" fontId="8" fillId="6" borderId="15" xfId="0" applyFont="1" applyFill="1" applyBorder="1" applyAlignment="1">
      <alignment vertical="center" wrapText="1"/>
    </xf>
    <xf numFmtId="0" fontId="16" fillId="6" borderId="0" xfId="0" applyFont="1" applyFill="1" applyAlignment="1" applyProtection="1">
      <alignment vertical="top" wrapText="1"/>
      <protection locked="0"/>
    </xf>
    <xf numFmtId="3" fontId="8" fillId="6" borderId="3" xfId="0" applyNumberFormat="1" applyFont="1" applyFill="1" applyBorder="1" applyAlignment="1">
      <alignment horizontal="right" vertical="center"/>
    </xf>
    <xf numFmtId="3" fontId="8" fillId="6" borderId="6" xfId="0" applyNumberFormat="1" applyFont="1" applyFill="1" applyBorder="1" applyAlignment="1">
      <alignment horizontal="right" vertical="center"/>
    </xf>
    <xf numFmtId="3" fontId="8" fillId="6" borderId="13" xfId="0" applyNumberFormat="1" applyFont="1" applyFill="1" applyBorder="1" applyAlignment="1">
      <alignment horizontal="right" vertical="center"/>
    </xf>
    <xf numFmtId="167" fontId="13" fillId="6" borderId="3" xfId="0" applyNumberFormat="1" applyFont="1" applyFill="1" applyBorder="1" applyAlignment="1">
      <alignment horizontal="right" vertical="top"/>
    </xf>
    <xf numFmtId="167" fontId="13" fillId="6" borderId="13" xfId="0" applyNumberFormat="1" applyFont="1" applyFill="1" applyBorder="1" applyAlignment="1">
      <alignment horizontal="right" vertical="top"/>
    </xf>
    <xf numFmtId="167" fontId="6" fillId="6" borderId="3" xfId="0" applyNumberFormat="1" applyFont="1" applyFill="1" applyBorder="1" applyAlignment="1">
      <alignment horizontal="right" vertical="center"/>
    </xf>
    <xf numFmtId="167" fontId="6" fillId="6" borderId="3" xfId="0" applyNumberFormat="1" applyFont="1" applyFill="1" applyBorder="1" applyAlignment="1">
      <alignment vertical="center"/>
    </xf>
    <xf numFmtId="167" fontId="8" fillId="6" borderId="12" xfId="0" applyNumberFormat="1" applyFont="1" applyFill="1" applyBorder="1" applyAlignment="1">
      <alignment horizontal="right" vertical="center"/>
    </xf>
    <xf numFmtId="167" fontId="8" fillId="6" borderId="15" xfId="0" applyNumberFormat="1" applyFont="1" applyFill="1" applyBorder="1" applyAlignment="1">
      <alignment horizontal="right" vertical="center"/>
    </xf>
    <xf numFmtId="0" fontId="11" fillId="6" borderId="6" xfId="0" applyFont="1" applyFill="1" applyBorder="1" applyAlignment="1">
      <alignment horizontal="center" vertical="center" wrapText="1"/>
    </xf>
    <xf numFmtId="0" fontId="3" fillId="0" borderId="15"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wrapText="1"/>
    </xf>
    <xf numFmtId="0" fontId="32" fillId="0" borderId="3" xfId="0" applyFont="1" applyBorder="1" applyAlignment="1">
      <alignment horizontal="left" vertical="center" wrapText="1"/>
    </xf>
    <xf numFmtId="0" fontId="0" fillId="0" borderId="0" xfId="0" applyAlignment="1">
      <alignment horizontal="left" vertical="center" wrapText="1"/>
    </xf>
    <xf numFmtId="0" fontId="23" fillId="0" borderId="3" xfId="0" applyFont="1" applyBorder="1" applyAlignment="1">
      <alignment horizontal="left" vertical="center" wrapText="1"/>
    </xf>
    <xf numFmtId="0" fontId="6" fillId="0" borderId="0" xfId="0" applyFont="1" applyAlignment="1">
      <alignment horizontal="left" vertical="center" wrapText="1"/>
    </xf>
    <xf numFmtId="0" fontId="8" fillId="6" borderId="31" xfId="0" applyFont="1" applyFill="1" applyBorder="1" applyAlignment="1">
      <alignment vertical="center"/>
    </xf>
    <xf numFmtId="0" fontId="8" fillId="6" borderId="31" xfId="0" applyFont="1" applyFill="1" applyBorder="1" applyAlignment="1">
      <alignment horizontal="center" vertical="center"/>
    </xf>
    <xf numFmtId="3" fontId="8" fillId="6" borderId="31" xfId="0" applyNumberFormat="1" applyFont="1" applyFill="1" applyBorder="1" applyAlignment="1">
      <alignment horizontal="right" vertical="center"/>
    </xf>
    <xf numFmtId="0" fontId="8" fillId="6" borderId="3" xfId="0" applyFont="1" applyFill="1" applyBorder="1" applyAlignment="1">
      <alignment horizontal="left" vertical="top"/>
    </xf>
    <xf numFmtId="0" fontId="8" fillId="0" borderId="27" xfId="0" applyFont="1" applyBorder="1" applyAlignment="1">
      <alignment horizontal="left" vertical="center" wrapText="1"/>
    </xf>
    <xf numFmtId="0" fontId="22" fillId="0" borderId="3" xfId="0" applyFont="1" applyBorder="1" applyAlignment="1">
      <alignment horizontal="left" vertical="center"/>
    </xf>
    <xf numFmtId="167" fontId="6" fillId="0" borderId="3" xfId="0" applyNumberFormat="1" applyFont="1" applyBorder="1" applyAlignment="1">
      <alignment horizontal="right" vertical="center"/>
    </xf>
    <xf numFmtId="0" fontId="22" fillId="6" borderId="3" xfId="0" applyFont="1" applyFill="1" applyBorder="1" applyAlignment="1">
      <alignment horizontal="left" vertical="center"/>
    </xf>
    <xf numFmtId="0" fontId="22" fillId="6" borderId="15" xfId="0" applyFont="1" applyFill="1" applyBorder="1" applyAlignment="1">
      <alignment horizontal="left" vertical="center"/>
    </xf>
    <xf numFmtId="0" fontId="6" fillId="6" borderId="15" xfId="0" applyFont="1" applyFill="1" applyBorder="1" applyAlignment="1">
      <alignment vertical="center" wrapText="1"/>
    </xf>
    <xf numFmtId="1" fontId="6" fillId="6" borderId="15" xfId="0" applyNumberFormat="1" applyFont="1" applyFill="1" applyBorder="1" applyAlignment="1">
      <alignment vertical="center"/>
    </xf>
    <xf numFmtId="0" fontId="46" fillId="6" borderId="3" xfId="0" applyFont="1" applyFill="1" applyBorder="1" applyAlignment="1">
      <alignment horizontal="left" vertical="center"/>
    </xf>
    <xf numFmtId="167" fontId="8" fillId="6" borderId="3" xfId="0" applyNumberFormat="1" applyFont="1" applyFill="1" applyBorder="1" applyAlignment="1">
      <alignment horizontal="right" vertical="center"/>
    </xf>
    <xf numFmtId="167" fontId="8" fillId="6" borderId="3" xfId="0" applyNumberFormat="1" applyFont="1" applyFill="1" applyBorder="1" applyAlignment="1">
      <alignment vertical="center"/>
    </xf>
    <xf numFmtId="167" fontId="6" fillId="6" borderId="15" xfId="0" applyNumberFormat="1" applyFont="1" applyFill="1" applyBorder="1" applyAlignment="1">
      <alignment horizontal="right" vertical="top"/>
    </xf>
    <xf numFmtId="167" fontId="8" fillId="6" borderId="15" xfId="0" applyNumberFormat="1" applyFont="1" applyFill="1" applyBorder="1" applyAlignment="1">
      <alignment vertical="center"/>
    </xf>
    <xf numFmtId="0" fontId="6" fillId="0" borderId="31" xfId="0" applyFont="1" applyBorder="1" applyAlignment="1">
      <alignment horizontal="left" vertical="top" wrapText="1"/>
    </xf>
    <xf numFmtId="0" fontId="21" fillId="0" borderId="3" xfId="0" applyFont="1" applyBorder="1" applyAlignment="1">
      <alignment vertical="center" wrapText="1"/>
    </xf>
    <xf numFmtId="165" fontId="22" fillId="0" borderId="0" xfId="0" applyNumberFormat="1" applyFont="1" applyAlignment="1">
      <alignment horizontal="right" vertical="center"/>
    </xf>
    <xf numFmtId="0" fontId="14" fillId="6" borderId="34" xfId="0" applyFont="1" applyFill="1" applyBorder="1" applyAlignment="1">
      <alignment horizontal="left" vertical="top"/>
    </xf>
    <xf numFmtId="0" fontId="8" fillId="6" borderId="20" xfId="0" applyFont="1" applyFill="1" applyBorder="1" applyAlignment="1">
      <alignment vertical="center" wrapText="1"/>
    </xf>
    <xf numFmtId="0" fontId="8" fillId="6" borderId="10" xfId="0" applyFont="1" applyFill="1" applyBorder="1" applyAlignment="1">
      <alignment vertical="center" wrapText="1"/>
    </xf>
    <xf numFmtId="0" fontId="8" fillId="0" borderId="3" xfId="0" applyFont="1" applyBorder="1" applyAlignment="1">
      <alignment horizontal="left" vertical="center"/>
    </xf>
    <xf numFmtId="0" fontId="8" fillId="0" borderId="3" xfId="0" applyFont="1" applyBorder="1" applyAlignment="1">
      <alignment horizontal="left" vertical="center" wrapText="1"/>
    </xf>
    <xf numFmtId="167" fontId="8" fillId="0" borderId="3" xfId="0" applyNumberFormat="1" applyFont="1" applyBorder="1" applyAlignment="1">
      <alignment horizontal="right" vertical="center"/>
    </xf>
    <xf numFmtId="0" fontId="2" fillId="0" borderId="2" xfId="0" applyFont="1" applyBorder="1" applyAlignment="1">
      <alignment vertical="top"/>
    </xf>
    <xf numFmtId="0" fontId="2" fillId="0" borderId="2" xfId="0" applyFont="1" applyBorder="1" applyAlignment="1">
      <alignment vertical="top" wrapText="1"/>
    </xf>
    <xf numFmtId="0" fontId="2" fillId="0" borderId="25" xfId="0" applyFont="1" applyBorder="1" applyAlignment="1">
      <alignment horizontal="center" vertical="center"/>
    </xf>
    <xf numFmtId="0" fontId="2" fillId="0" borderId="29" xfId="0" applyFont="1" applyBorder="1" applyAlignment="1">
      <alignment horizontal="center" vertical="center"/>
    </xf>
    <xf numFmtId="0" fontId="6" fillId="0" borderId="15" xfId="0" applyFont="1" applyBorder="1" applyAlignment="1">
      <alignment horizontal="left" vertical="top"/>
    </xf>
    <xf numFmtId="0" fontId="2" fillId="0" borderId="25" xfId="0" applyFont="1" applyBorder="1" applyAlignment="1">
      <alignment horizontal="left" vertical="top"/>
    </xf>
    <xf numFmtId="0" fontId="4" fillId="6" borderId="4" xfId="0" applyFont="1" applyFill="1" applyBorder="1" applyAlignment="1">
      <alignment vertical="top"/>
    </xf>
    <xf numFmtId="0" fontId="4" fillId="6" borderId="25" xfId="0" applyFont="1" applyFill="1" applyBorder="1" applyAlignment="1">
      <alignment vertical="top"/>
    </xf>
    <xf numFmtId="0" fontId="2" fillId="6" borderId="25" xfId="0" applyFont="1" applyFill="1" applyBorder="1" applyAlignment="1">
      <alignment vertical="top"/>
    </xf>
    <xf numFmtId="0" fontId="2" fillId="6" borderId="5" xfId="0" applyFont="1" applyFill="1" applyBorder="1" applyAlignment="1">
      <alignment vertical="top"/>
    </xf>
    <xf numFmtId="0" fontId="3" fillId="0" borderId="25" xfId="0" applyFont="1" applyBorder="1" applyAlignment="1">
      <alignment vertical="top"/>
    </xf>
    <xf numFmtId="0" fontId="3" fillId="0" borderId="29" xfId="0" applyFont="1" applyBorder="1" applyAlignment="1">
      <alignment vertical="top"/>
    </xf>
    <xf numFmtId="0" fontId="3" fillId="0" borderId="25" xfId="0" applyFont="1" applyBorder="1" applyAlignment="1">
      <alignment horizontal="left" vertical="top"/>
    </xf>
    <xf numFmtId="0" fontId="3" fillId="0" borderId="29" xfId="0" applyFont="1" applyBorder="1" applyAlignment="1">
      <alignment horizontal="left" vertical="top"/>
    </xf>
    <xf numFmtId="2" fontId="6" fillId="0" borderId="15" xfId="0" applyNumberFormat="1" applyFont="1" applyBorder="1" applyAlignment="1">
      <alignment vertical="center"/>
    </xf>
    <xf numFmtId="0" fontId="2" fillId="6" borderId="14" xfId="0" applyFont="1" applyFill="1" applyBorder="1" applyAlignment="1">
      <alignment horizontal="left" vertical="top"/>
    </xf>
    <xf numFmtId="0" fontId="2" fillId="6" borderId="27" xfId="0" applyFont="1" applyFill="1" applyBorder="1" applyAlignment="1">
      <alignment horizontal="center" vertical="top"/>
    </xf>
    <xf numFmtId="0" fontId="50" fillId="0" borderId="0" xfId="0" applyFont="1"/>
    <xf numFmtId="0" fontId="50" fillId="0" borderId="0" xfId="0" applyFont="1" applyAlignment="1">
      <alignment vertical="center"/>
    </xf>
    <xf numFmtId="0" fontId="50" fillId="0" borderId="0" xfId="0" applyFont="1" applyAlignment="1">
      <alignment horizontal="center" vertical="center" wrapText="1"/>
    </xf>
    <xf numFmtId="0" fontId="50" fillId="0" borderId="0" xfId="0" applyFont="1" applyAlignment="1">
      <alignment horizontal="center" vertical="center"/>
    </xf>
    <xf numFmtId="0" fontId="48" fillId="0" borderId="0" xfId="2" applyAlignment="1">
      <alignment vertical="center" wrapText="1"/>
    </xf>
    <xf numFmtId="0" fontId="4" fillId="0" borderId="15" xfId="0" applyFont="1" applyBorder="1" applyAlignment="1">
      <alignment horizontal="center" vertical="center"/>
    </xf>
    <xf numFmtId="0" fontId="4" fillId="0" borderId="15" xfId="0" applyFont="1" applyBorder="1" applyAlignment="1">
      <alignment vertical="center"/>
    </xf>
    <xf numFmtId="0" fontId="4" fillId="6" borderId="3" xfId="0" applyFont="1" applyFill="1" applyBorder="1" applyAlignment="1">
      <alignment horizontal="left" vertical="center"/>
    </xf>
    <xf numFmtId="0" fontId="11" fillId="6" borderId="11" xfId="0" applyFont="1" applyFill="1" applyBorder="1" applyAlignment="1">
      <alignment horizontal="center" vertical="center" wrapText="1"/>
    </xf>
    <xf numFmtId="2" fontId="11" fillId="6" borderId="12" xfId="0" applyNumberFormat="1" applyFont="1" applyFill="1" applyBorder="1" applyAlignment="1">
      <alignment horizontal="right" vertical="center" wrapText="1"/>
    </xf>
    <xf numFmtId="0" fontId="6" fillId="6" borderId="13" xfId="0" applyFont="1" applyFill="1" applyBorder="1" applyAlignment="1">
      <alignment horizontal="right" vertical="center" wrapText="1"/>
    </xf>
    <xf numFmtId="0" fontId="6" fillId="6" borderId="13" xfId="0" applyFont="1" applyFill="1" applyBorder="1" applyAlignment="1">
      <alignment horizontal="right" vertical="center"/>
    </xf>
    <xf numFmtId="0" fontId="2" fillId="6" borderId="13" xfId="0" applyFont="1" applyFill="1" applyBorder="1" applyAlignment="1">
      <alignment horizontal="left" vertical="center"/>
    </xf>
    <xf numFmtId="0" fontId="2" fillId="6" borderId="12" xfId="0" applyFont="1" applyFill="1" applyBorder="1" applyAlignment="1">
      <alignment horizontal="left" vertical="center"/>
    </xf>
    <xf numFmtId="0" fontId="2" fillId="0" borderId="15" xfId="0" applyFont="1" applyBorder="1" applyAlignment="1">
      <alignment horizontal="left" vertical="center"/>
    </xf>
    <xf numFmtId="0" fontId="2" fillId="0" borderId="3" xfId="0" applyFont="1" applyBorder="1" applyAlignment="1">
      <alignment horizontal="left" vertical="center"/>
    </xf>
    <xf numFmtId="0" fontId="2" fillId="6" borderId="3" xfId="0" applyFont="1" applyFill="1" applyBorder="1" applyAlignment="1">
      <alignment horizontal="left" vertical="center"/>
    </xf>
    <xf numFmtId="2" fontId="6" fillId="6" borderId="3" xfId="0" applyNumberFormat="1" applyFont="1" applyFill="1" applyBorder="1" applyAlignment="1">
      <alignment horizontal="right" vertical="center"/>
    </xf>
    <xf numFmtId="0" fontId="11" fillId="0" borderId="7" xfId="0" applyFont="1" applyBorder="1" applyAlignment="1">
      <alignment vertical="center"/>
    </xf>
    <xf numFmtId="0" fontId="11" fillId="6" borderId="35" xfId="0" applyFont="1" applyFill="1" applyBorder="1" applyAlignment="1">
      <alignment horizontal="right" vertical="center" wrapText="1"/>
    </xf>
    <xf numFmtId="167" fontId="2" fillId="0" borderId="0" xfId="0" applyNumberFormat="1" applyFont="1" applyAlignment="1">
      <alignment horizontal="left" vertical="top"/>
    </xf>
    <xf numFmtId="0" fontId="3" fillId="0" borderId="15" xfId="0" applyFont="1" applyBorder="1" applyAlignment="1">
      <alignment horizontal="center" vertical="center"/>
    </xf>
    <xf numFmtId="0" fontId="3" fillId="0" borderId="3" xfId="0" applyFont="1" applyBorder="1" applyAlignment="1">
      <alignment horizontal="center" vertical="center"/>
    </xf>
    <xf numFmtId="0" fontId="30" fillId="0" borderId="3" xfId="0" applyFont="1" applyBorder="1" applyAlignment="1">
      <alignment horizontal="right" vertical="center"/>
    </xf>
    <xf numFmtId="0" fontId="49" fillId="0" borderId="3" xfId="0" applyFont="1" applyBorder="1" applyAlignment="1">
      <alignment horizontal="left" vertical="center"/>
    </xf>
    <xf numFmtId="168" fontId="49" fillId="0" borderId="3" xfId="0" applyNumberFormat="1" applyFont="1" applyBorder="1" applyAlignment="1">
      <alignment horizontal="left" vertical="center"/>
    </xf>
    <xf numFmtId="0" fontId="53" fillId="0" borderId="0" xfId="0" applyFont="1" applyAlignment="1">
      <alignment horizontal="right" vertical="center" wrapText="1"/>
    </xf>
    <xf numFmtId="0" fontId="0" fillId="0" borderId="0" xfId="0" applyAlignment="1">
      <alignment horizontal="center" vertical="center" wrapText="1"/>
    </xf>
    <xf numFmtId="0" fontId="0" fillId="0" borderId="3" xfId="0" applyBorder="1" applyAlignment="1">
      <alignment vertical="center" wrapText="1"/>
    </xf>
    <xf numFmtId="0" fontId="16" fillId="6" borderId="0" xfId="0" applyFont="1" applyFill="1" applyAlignment="1">
      <alignment vertical="top"/>
    </xf>
    <xf numFmtId="14" fontId="0" fillId="0" borderId="0" xfId="0" applyNumberFormat="1" applyAlignment="1">
      <alignment horizontal="center" vertical="center"/>
    </xf>
    <xf numFmtId="3" fontId="2" fillId="0" borderId="0" xfId="0" applyNumberFormat="1" applyFont="1" applyAlignment="1">
      <alignment horizontal="left" vertical="top"/>
    </xf>
    <xf numFmtId="0" fontId="54" fillId="0" borderId="32" xfId="0" applyFont="1" applyBorder="1" applyAlignment="1">
      <alignment horizontal="left" vertical="center" wrapText="1"/>
    </xf>
    <xf numFmtId="0" fontId="55" fillId="0" borderId="0" xfId="0" applyFont="1"/>
    <xf numFmtId="0" fontId="30" fillId="0" borderId="0" xfId="0" applyFont="1" applyAlignment="1">
      <alignment horizontal="left" vertical="center"/>
    </xf>
    <xf numFmtId="0" fontId="30" fillId="0" borderId="0" xfId="0" applyFont="1" applyAlignment="1">
      <alignment vertical="center"/>
    </xf>
    <xf numFmtId="0" fontId="30" fillId="0" borderId="0" xfId="0" applyFont="1" applyAlignment="1">
      <alignment vertical="center" wrapText="1"/>
    </xf>
    <xf numFmtId="0" fontId="0" fillId="0" borderId="3" xfId="0" applyBorder="1"/>
    <xf numFmtId="0" fontId="8" fillId="0" borderId="0" xfId="0" applyFont="1" applyAlignment="1">
      <alignment horizontal="left" vertical="top"/>
    </xf>
    <xf numFmtId="3" fontId="8" fillId="0" borderId="0" xfId="0" applyNumberFormat="1" applyFont="1" applyAlignment="1">
      <alignment horizontal="right" vertical="center"/>
    </xf>
    <xf numFmtId="0" fontId="23" fillId="0" borderId="0" xfId="0" applyFont="1" applyAlignment="1">
      <alignment vertical="center"/>
    </xf>
    <xf numFmtId="0" fontId="30" fillId="0" borderId="0" xfId="0" applyFont="1" applyAlignment="1">
      <alignment horizontal="left" vertical="center" wrapText="1"/>
    </xf>
    <xf numFmtId="0" fontId="51" fillId="0" borderId="0" xfId="0" applyFont="1" applyAlignment="1">
      <alignment horizontal="left" vertical="center"/>
    </xf>
    <xf numFmtId="0" fontId="30" fillId="0" borderId="0" xfId="0" applyFont="1" applyAlignment="1">
      <alignment horizontal="left" vertical="top" wrapText="1"/>
    </xf>
    <xf numFmtId="0" fontId="30" fillId="0" borderId="0" xfId="0" applyFont="1" applyAlignment="1">
      <alignment vertical="top" wrapText="1"/>
    </xf>
    <xf numFmtId="0" fontId="51" fillId="0" borderId="0" xfId="0" applyFont="1" applyAlignment="1">
      <alignment horizontal="left" vertical="top" wrapText="1"/>
    </xf>
    <xf numFmtId="0" fontId="33" fillId="0" borderId="0" xfId="0" applyFont="1" applyAlignment="1">
      <alignment vertical="top"/>
    </xf>
    <xf numFmtId="0" fontId="30" fillId="0" borderId="0" xfId="0" applyFont="1" applyAlignment="1">
      <alignment horizontal="left" vertical="top"/>
    </xf>
    <xf numFmtId="0" fontId="43" fillId="0" borderId="0" xfId="0" applyFont="1" applyAlignment="1">
      <alignment horizontal="left" vertical="top"/>
    </xf>
    <xf numFmtId="0" fontId="33" fillId="0" borderId="0" xfId="0" applyFont="1" applyAlignment="1">
      <alignment vertical="center"/>
    </xf>
    <xf numFmtId="0" fontId="43" fillId="0" borderId="0" xfId="0" applyFont="1" applyAlignment="1">
      <alignment horizontal="left" vertical="center"/>
    </xf>
    <xf numFmtId="2" fontId="30" fillId="0" borderId="0" xfId="0" applyNumberFormat="1" applyFont="1" applyAlignment="1">
      <alignment horizontal="left" vertical="center"/>
    </xf>
    <xf numFmtId="0" fontId="6" fillId="0" borderId="0" xfId="0" applyFont="1" applyAlignment="1">
      <alignment vertical="top"/>
    </xf>
    <xf numFmtId="167" fontId="6" fillId="0" borderId="0" xfId="0" applyNumberFormat="1" applyFont="1" applyAlignment="1">
      <alignment vertical="top"/>
    </xf>
    <xf numFmtId="0" fontId="6" fillId="0" borderId="0" xfId="0" applyFont="1" applyAlignment="1">
      <alignment vertical="center"/>
    </xf>
    <xf numFmtId="0" fontId="8" fillId="0" borderId="0" xfId="0" applyFont="1" applyAlignment="1" applyProtection="1">
      <alignment vertical="top"/>
      <protection locked="0"/>
    </xf>
    <xf numFmtId="0" fontId="6" fillId="0" borderId="0" xfId="0" applyFont="1" applyAlignment="1" applyProtection="1">
      <alignment vertical="top"/>
      <protection locked="0"/>
    </xf>
    <xf numFmtId="0" fontId="32" fillId="3" borderId="3" xfId="0" applyFont="1" applyFill="1" applyBorder="1" applyAlignment="1" applyProtection="1">
      <alignment vertical="center" wrapText="1"/>
      <protection locked="0"/>
    </xf>
    <xf numFmtId="4" fontId="6" fillId="3" borderId="3" xfId="0" applyNumberFormat="1" applyFont="1" applyFill="1" applyBorder="1" applyAlignment="1" applyProtection="1">
      <alignment horizontal="center" vertical="center"/>
      <protection locked="0"/>
    </xf>
    <xf numFmtId="2" fontId="6" fillId="3" borderId="3" xfId="0" applyNumberFormat="1" applyFont="1" applyFill="1" applyBorder="1" applyAlignment="1" applyProtection="1">
      <alignment vertical="center"/>
      <protection locked="0"/>
    </xf>
    <xf numFmtId="14" fontId="0" fillId="10" borderId="1" xfId="0" applyNumberFormat="1" applyFill="1" applyBorder="1" applyAlignment="1" applyProtection="1">
      <alignment horizontal="center" vertical="center" wrapText="1"/>
      <protection locked="0"/>
    </xf>
    <xf numFmtId="2" fontId="27" fillId="10" borderId="0" xfId="0" applyNumberFormat="1" applyFont="1" applyFill="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10" borderId="15" xfId="0" applyFill="1" applyBorder="1" applyAlignment="1" applyProtection="1">
      <alignment horizontal="left" vertical="center" wrapText="1"/>
      <protection locked="0"/>
    </xf>
    <xf numFmtId="0" fontId="0" fillId="10" borderId="3" xfId="0" applyFill="1" applyBorder="1" applyAlignment="1" applyProtection="1">
      <alignment horizontal="left" vertical="center" wrapText="1"/>
      <protection locked="0"/>
    </xf>
    <xf numFmtId="0" fontId="0" fillId="10" borderId="13" xfId="0" applyFill="1" applyBorder="1" applyAlignment="1" applyProtection="1">
      <alignment horizontal="left" vertical="center" wrapText="1"/>
      <protection locked="0"/>
    </xf>
    <xf numFmtId="0" fontId="0" fillId="10" borderId="20" xfId="0" applyFill="1" applyBorder="1" applyAlignment="1" applyProtection="1">
      <alignment horizontal="left" vertical="center" wrapText="1"/>
      <protection locked="0"/>
    </xf>
    <xf numFmtId="0" fontId="0" fillId="10" borderId="7" xfId="0" applyFill="1" applyBorder="1" applyAlignment="1" applyProtection="1">
      <alignment horizontal="left" vertical="center" wrapText="1"/>
      <protection locked="0"/>
    </xf>
    <xf numFmtId="0" fontId="0" fillId="10" borderId="14" xfId="0" applyFill="1" applyBorder="1" applyAlignment="1" applyProtection="1">
      <alignment horizontal="left" vertical="center" wrapText="1"/>
      <protection locked="0"/>
    </xf>
    <xf numFmtId="3" fontId="6" fillId="10" borderId="3" xfId="0" applyNumberFormat="1" applyFont="1" applyFill="1" applyBorder="1" applyAlignment="1" applyProtection="1">
      <alignment horizontal="right" vertical="center"/>
      <protection locked="0"/>
    </xf>
    <xf numFmtId="4" fontId="6" fillId="10" borderId="3" xfId="0" applyNumberFormat="1" applyFont="1" applyFill="1" applyBorder="1" applyAlignment="1" applyProtection="1">
      <alignment horizontal="right" vertical="center"/>
      <protection locked="0"/>
    </xf>
    <xf numFmtId="2" fontId="6" fillId="10" borderId="3" xfId="0" applyNumberFormat="1" applyFont="1" applyFill="1" applyBorder="1" applyAlignment="1" applyProtection="1">
      <alignment horizontal="right" vertical="center" wrapText="1" indent="1"/>
      <protection locked="0"/>
    </xf>
    <xf numFmtId="10" fontId="6" fillId="10" borderId="3"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top"/>
      <protection locked="0"/>
    </xf>
    <xf numFmtId="164" fontId="6" fillId="10" borderId="15" xfId="0" applyNumberFormat="1" applyFont="1" applyFill="1" applyBorder="1" applyAlignment="1" applyProtection="1">
      <alignment horizontal="center" vertical="center"/>
      <protection locked="0"/>
    </xf>
    <xf numFmtId="2" fontId="6" fillId="10" borderId="3" xfId="0" applyNumberFormat="1" applyFont="1" applyFill="1" applyBorder="1" applyAlignment="1" applyProtection="1">
      <alignment horizontal="right" vertical="center"/>
      <protection locked="0"/>
    </xf>
    <xf numFmtId="167" fontId="6" fillId="10" borderId="3" xfId="0" applyNumberFormat="1" applyFont="1" applyFill="1" applyBorder="1" applyAlignment="1" applyProtection="1">
      <alignment horizontal="right" vertical="top"/>
      <protection locked="0"/>
    </xf>
    <xf numFmtId="0" fontId="6" fillId="10" borderId="9" xfId="0" applyFont="1" applyFill="1" applyBorder="1" applyAlignment="1" applyProtection="1">
      <alignment horizontal="left" vertical="center" wrapText="1"/>
      <protection locked="0"/>
    </xf>
    <xf numFmtId="3" fontId="6" fillId="10" borderId="9" xfId="0" applyNumberFormat="1" applyFont="1" applyFill="1" applyBorder="1" applyAlignment="1" applyProtection="1">
      <alignment horizontal="right" vertical="center"/>
      <protection locked="0"/>
    </xf>
    <xf numFmtId="167" fontId="6" fillId="10" borderId="9" xfId="0" applyNumberFormat="1" applyFont="1" applyFill="1" applyBorder="1" applyAlignment="1" applyProtection="1">
      <alignment horizontal="right" vertical="center"/>
      <protection locked="0"/>
    </xf>
    <xf numFmtId="3" fontId="6" fillId="10" borderId="6" xfId="0" applyNumberFormat="1" applyFont="1" applyFill="1" applyBorder="1" applyAlignment="1" applyProtection="1">
      <alignment horizontal="right" vertical="center"/>
      <protection locked="0"/>
    </xf>
    <xf numFmtId="14" fontId="6" fillId="10" borderId="15" xfId="0" applyNumberFormat="1" applyFont="1" applyFill="1" applyBorder="1" applyAlignment="1" applyProtection="1">
      <alignment horizontal="center" vertical="center"/>
      <protection locked="0"/>
    </xf>
    <xf numFmtId="167" fontId="6" fillId="10" borderId="15" xfId="0" applyNumberFormat="1" applyFont="1" applyFill="1" applyBorder="1" applyAlignment="1" applyProtection="1">
      <alignment vertical="center"/>
      <protection locked="0"/>
    </xf>
    <xf numFmtId="10" fontId="6" fillId="10" borderId="15" xfId="1" applyNumberFormat="1" applyFont="1" applyFill="1" applyBorder="1" applyAlignment="1" applyProtection="1">
      <alignment horizontal="center" vertical="center"/>
      <protection locked="0"/>
    </xf>
    <xf numFmtId="14" fontId="6" fillId="10" borderId="3" xfId="0" applyNumberFormat="1" applyFont="1" applyFill="1" applyBorder="1" applyAlignment="1" applyProtection="1">
      <alignment horizontal="center" vertical="center"/>
      <protection locked="0"/>
    </xf>
    <xf numFmtId="167" fontId="6" fillId="10" borderId="3" xfId="1"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vertical="center"/>
      <protection locked="0"/>
    </xf>
    <xf numFmtId="14" fontId="6" fillId="10" borderId="13" xfId="0" applyNumberFormat="1" applyFont="1" applyFill="1" applyBorder="1" applyAlignment="1" applyProtection="1">
      <alignment horizontal="center" vertical="center"/>
      <protection locked="0"/>
    </xf>
    <xf numFmtId="167" fontId="6" fillId="10" borderId="13" xfId="1" applyNumberFormat="1" applyFont="1" applyFill="1" applyBorder="1" applyAlignment="1" applyProtection="1">
      <alignment vertical="center"/>
      <protection locked="0"/>
    </xf>
    <xf numFmtId="10" fontId="6" fillId="10" borderId="13" xfId="1" applyNumberFormat="1" applyFont="1" applyFill="1" applyBorder="1" applyAlignment="1" applyProtection="1">
      <alignment horizontal="center" vertical="center"/>
      <protection locked="0"/>
    </xf>
    <xf numFmtId="167" fontId="6" fillId="10" borderId="13" xfId="0" applyNumberFormat="1" applyFont="1" applyFill="1" applyBorder="1" applyAlignment="1" applyProtection="1">
      <alignment vertical="center"/>
      <protection locked="0"/>
    </xf>
    <xf numFmtId="167" fontId="6" fillId="10" borderId="3" xfId="0" applyNumberFormat="1" applyFont="1" applyFill="1" applyBorder="1" applyAlignment="1" applyProtection="1">
      <alignment horizontal="right" vertical="center"/>
      <protection locked="0"/>
    </xf>
    <xf numFmtId="167" fontId="6" fillId="10" borderId="13" xfId="0" applyNumberFormat="1" applyFont="1" applyFill="1" applyBorder="1" applyAlignment="1" applyProtection="1">
      <alignment horizontal="right" vertical="center"/>
      <protection locked="0"/>
    </xf>
    <xf numFmtId="167" fontId="6" fillId="10" borderId="32" xfId="0" applyNumberFormat="1" applyFont="1" applyFill="1" applyBorder="1" applyAlignment="1" applyProtection="1">
      <alignment horizontal="right" vertical="center"/>
      <protection locked="0"/>
    </xf>
    <xf numFmtId="167" fontId="6" fillId="10" borderId="31" xfId="0" applyNumberFormat="1" applyFont="1" applyFill="1" applyBorder="1" applyAlignment="1" applyProtection="1">
      <alignment horizontal="right" vertical="center"/>
      <protection locked="0"/>
    </xf>
    <xf numFmtId="167" fontId="6" fillId="10" borderId="15" xfId="0" applyNumberFormat="1" applyFont="1" applyFill="1" applyBorder="1" applyAlignment="1" applyProtection="1">
      <alignment horizontal="right" vertical="center"/>
      <protection locked="0"/>
    </xf>
    <xf numFmtId="167" fontId="8" fillId="10" borderId="3" xfId="0" applyNumberFormat="1" applyFont="1" applyFill="1" applyBorder="1" applyAlignment="1" applyProtection="1">
      <alignment vertical="center"/>
      <protection locked="0"/>
    </xf>
    <xf numFmtId="167" fontId="8" fillId="10" borderId="3" xfId="0" applyNumberFormat="1" applyFont="1" applyFill="1" applyBorder="1" applyAlignment="1" applyProtection="1">
      <alignment horizontal="right" vertical="center"/>
      <protection locked="0"/>
    </xf>
    <xf numFmtId="10" fontId="6" fillId="10" borderId="3" xfId="1" applyNumberFormat="1" applyFont="1" applyFill="1" applyBorder="1" applyAlignment="1" applyProtection="1">
      <alignment horizontal="right" vertical="center"/>
      <protection locked="0"/>
    </xf>
    <xf numFmtId="0" fontId="3" fillId="10" borderId="18" xfId="0" applyFont="1" applyFill="1" applyBorder="1" applyAlignment="1" applyProtection="1">
      <alignment horizontal="center" vertical="center" wrapText="1"/>
      <protection locked="0"/>
    </xf>
    <xf numFmtId="10" fontId="3" fillId="10" borderId="18" xfId="1" applyNumberFormat="1" applyFont="1" applyFill="1" applyBorder="1" applyAlignment="1" applyProtection="1">
      <alignment horizontal="center" vertical="center" wrapText="1"/>
      <protection locked="0"/>
    </xf>
    <xf numFmtId="2" fontId="0" fillId="4" borderId="13" xfId="0" applyNumberFormat="1" applyFill="1" applyBorder="1" applyAlignment="1">
      <alignment horizontal="center" vertical="center"/>
    </xf>
    <xf numFmtId="0" fontId="30" fillId="4" borderId="0" xfId="0" applyFont="1" applyFill="1" applyAlignment="1">
      <alignment horizontal="left" vertical="center"/>
    </xf>
    <xf numFmtId="0" fontId="30" fillId="4" borderId="0" xfId="0" applyFont="1" applyFill="1" applyAlignment="1">
      <alignment vertical="center"/>
    </xf>
    <xf numFmtId="164" fontId="0" fillId="0" borderId="3" xfId="0" applyNumberFormat="1" applyBorder="1" applyAlignment="1" applyProtection="1">
      <alignment horizontal="center" vertical="center" wrapText="1"/>
      <protection locked="0"/>
    </xf>
    <xf numFmtId="1" fontId="6" fillId="4" borderId="13" xfId="0" applyNumberFormat="1" applyFont="1" applyFill="1" applyBorder="1" applyAlignment="1">
      <alignment horizontal="center" vertical="center"/>
    </xf>
    <xf numFmtId="0" fontId="0" fillId="4" borderId="3" xfId="0" applyFill="1" applyBorder="1" applyAlignment="1">
      <alignment horizontal="center" vertical="center" wrapText="1"/>
    </xf>
    <xf numFmtId="166" fontId="0" fillId="4" borderId="3" xfId="0" applyNumberFormat="1" applyFill="1" applyBorder="1" applyAlignment="1">
      <alignment horizontal="center" vertical="center" wrapText="1"/>
    </xf>
    <xf numFmtId="4" fontId="6" fillId="4" borderId="3" xfId="0" applyNumberFormat="1" applyFont="1" applyFill="1" applyBorder="1" applyAlignment="1">
      <alignment horizontal="right" vertical="center"/>
    </xf>
    <xf numFmtId="3" fontId="6" fillId="4" borderId="3" xfId="0" applyNumberFormat="1" applyFont="1" applyFill="1" applyBorder="1" applyAlignment="1">
      <alignment horizontal="right" vertical="center"/>
    </xf>
    <xf numFmtId="2" fontId="6" fillId="4" borderId="15" xfId="0" applyNumberFormat="1" applyFont="1" applyFill="1" applyBorder="1" applyAlignment="1">
      <alignment horizontal="right" vertical="top" wrapText="1" indent="1"/>
    </xf>
    <xf numFmtId="2" fontId="6" fillId="4" borderId="3" xfId="0" applyNumberFormat="1" applyFont="1" applyFill="1" applyBorder="1" applyAlignment="1">
      <alignment horizontal="right" vertical="top" wrapText="1" indent="1"/>
    </xf>
    <xf numFmtId="2" fontId="11" fillId="4" borderId="3" xfId="0" applyNumberFormat="1" applyFont="1" applyFill="1" applyBorder="1" applyAlignment="1">
      <alignment horizontal="right" vertical="top" indent="1"/>
    </xf>
    <xf numFmtId="2" fontId="6" fillId="4" borderId="3" xfId="0" applyNumberFormat="1" applyFont="1" applyFill="1" applyBorder="1" applyAlignment="1">
      <alignment horizontal="right" vertical="top" indent="1"/>
    </xf>
    <xf numFmtId="166" fontId="6" fillId="4" borderId="3" xfId="0" applyNumberFormat="1" applyFont="1" applyFill="1" applyBorder="1" applyAlignment="1">
      <alignment horizontal="right" vertical="top" wrapText="1" indent="1"/>
    </xf>
    <xf numFmtId="14" fontId="6" fillId="4" borderId="3" xfId="0" applyNumberFormat="1" applyFont="1" applyFill="1" applyBorder="1" applyAlignment="1">
      <alignment horizontal="center" vertical="center"/>
    </xf>
    <xf numFmtId="2" fontId="6" fillId="4" borderId="3" xfId="0" applyNumberFormat="1" applyFont="1" applyFill="1" applyBorder="1" applyAlignment="1">
      <alignment horizontal="right" vertical="center"/>
    </xf>
    <xf numFmtId="2" fontId="6" fillId="4" borderId="13" xfId="0" applyNumberFormat="1" applyFont="1" applyFill="1" applyBorder="1" applyAlignment="1">
      <alignment horizontal="right" vertical="center"/>
    </xf>
    <xf numFmtId="167" fontId="6" fillId="4" borderId="3" xfId="0" applyNumberFormat="1" applyFont="1" applyFill="1" applyBorder="1" applyAlignment="1">
      <alignment horizontal="right" vertical="top"/>
    </xf>
    <xf numFmtId="167" fontId="8" fillId="4" borderId="3" xfId="0" applyNumberFormat="1" applyFont="1" applyFill="1" applyBorder="1" applyAlignment="1">
      <alignment horizontal="right" vertical="top"/>
    </xf>
    <xf numFmtId="3" fontId="8" fillId="4" borderId="13" xfId="0" applyNumberFormat="1" applyFont="1" applyFill="1" applyBorder="1" applyAlignment="1">
      <alignment horizontal="right" vertical="center"/>
    </xf>
    <xf numFmtId="167" fontId="6" fillId="4" borderId="15" xfId="0" applyNumberFormat="1" applyFont="1" applyFill="1" applyBorder="1" applyAlignment="1">
      <alignment horizontal="right" vertical="center"/>
    </xf>
    <xf numFmtId="167" fontId="6" fillId="4" borderId="3" xfId="0" applyNumberFormat="1" applyFont="1" applyFill="1" applyBorder="1" applyAlignment="1">
      <alignment horizontal="right" vertical="center"/>
    </xf>
    <xf numFmtId="167" fontId="6" fillId="4" borderId="12" xfId="0" applyNumberFormat="1" applyFont="1" applyFill="1" applyBorder="1" applyAlignment="1">
      <alignment horizontal="right" vertical="center"/>
    </xf>
    <xf numFmtId="14" fontId="3" fillId="4" borderId="13" xfId="0" applyNumberFormat="1" applyFont="1" applyFill="1" applyBorder="1" applyAlignment="1">
      <alignment horizontal="center" vertical="center"/>
    </xf>
    <xf numFmtId="167" fontId="8" fillId="4" borderId="11" xfId="0" applyNumberFormat="1" applyFont="1" applyFill="1" applyBorder="1" applyAlignment="1">
      <alignment vertical="center"/>
    </xf>
    <xf numFmtId="167" fontId="6" fillId="4" borderId="3" xfId="0" applyNumberFormat="1" applyFont="1" applyFill="1" applyBorder="1" applyAlignment="1">
      <alignment vertical="center"/>
    </xf>
    <xf numFmtId="167" fontId="6" fillId="4" borderId="3" xfId="0" applyNumberFormat="1" applyFont="1" applyFill="1" applyBorder="1" applyAlignment="1">
      <alignment horizontal="left" vertical="center"/>
    </xf>
    <xf numFmtId="167" fontId="8" fillId="4" borderId="3" xfId="0" applyNumberFormat="1" applyFont="1" applyFill="1" applyBorder="1" applyAlignment="1">
      <alignment horizontal="right" vertical="center"/>
    </xf>
    <xf numFmtId="2" fontId="3" fillId="4" borderId="18" xfId="0" applyNumberFormat="1" applyFont="1" applyFill="1" applyBorder="1" applyAlignment="1">
      <alignment horizontal="center" vertical="center"/>
    </xf>
    <xf numFmtId="2" fontId="3" fillId="4" borderId="9" xfId="0" applyNumberFormat="1" applyFont="1" applyFill="1" applyBorder="1" applyAlignment="1">
      <alignment horizontal="center" vertical="center"/>
    </xf>
    <xf numFmtId="10" fontId="3" fillId="4" borderId="9" xfId="1" applyNumberFormat="1" applyFont="1" applyFill="1" applyBorder="1" applyAlignment="1" applyProtection="1">
      <alignment horizontal="center" vertical="center"/>
    </xf>
    <xf numFmtId="0" fontId="45" fillId="7" borderId="3" xfId="0" applyFont="1" applyFill="1" applyBorder="1" applyAlignment="1">
      <alignment vertical="top" wrapText="1"/>
    </xf>
    <xf numFmtId="0" fontId="30" fillId="10" borderId="3" xfId="0" applyFont="1" applyFill="1" applyBorder="1" applyAlignment="1">
      <alignment horizontal="left" vertical="top" wrapText="1"/>
    </xf>
    <xf numFmtId="0" fontId="30" fillId="3" borderId="3" xfId="0" applyFont="1" applyFill="1" applyBorder="1" applyAlignment="1">
      <alignment horizontal="left" vertical="top" wrapText="1"/>
    </xf>
    <xf numFmtId="0" fontId="30" fillId="4" borderId="3" xfId="0" applyFont="1" applyFill="1" applyBorder="1" applyAlignment="1">
      <alignment vertical="top" wrapText="1"/>
    </xf>
    <xf numFmtId="0" fontId="30" fillId="6" borderId="3" xfId="0" applyFont="1" applyFill="1" applyBorder="1" applyAlignment="1">
      <alignment horizontal="left" vertical="top" wrapText="1"/>
    </xf>
    <xf numFmtId="0" fontId="30" fillId="9" borderId="3" xfId="0" applyFont="1" applyFill="1" applyBorder="1" applyAlignment="1">
      <alignment vertical="top" wrapText="1"/>
    </xf>
    <xf numFmtId="0" fontId="35" fillId="5" borderId="3" xfId="0" applyFont="1" applyFill="1" applyBorder="1" applyAlignment="1">
      <alignment vertical="top" wrapText="1"/>
    </xf>
    <xf numFmtId="0" fontId="47" fillId="8" borderId="3" xfId="0" applyFont="1" applyFill="1" applyBorder="1" applyAlignment="1">
      <alignment vertical="top" wrapText="1"/>
    </xf>
    <xf numFmtId="0" fontId="0" fillId="0" borderId="0" xfId="0" applyAlignment="1">
      <alignment vertical="top"/>
    </xf>
    <xf numFmtId="0" fontId="44" fillId="0" borderId="0" xfId="0" applyFont="1" applyAlignment="1">
      <alignment vertical="top" wrapText="1"/>
    </xf>
    <xf numFmtId="0" fontId="44" fillId="0" borderId="0" xfId="0" quotePrefix="1" applyFont="1" applyAlignment="1">
      <alignment vertical="top" wrapText="1"/>
    </xf>
    <xf numFmtId="0" fontId="8" fillId="6" borderId="15" xfId="0" applyFont="1" applyFill="1" applyBorder="1" applyAlignment="1">
      <alignment horizontal="left" vertical="top"/>
    </xf>
    <xf numFmtId="0" fontId="6" fillId="0" borderId="3" xfId="0" applyFont="1" applyBorder="1" applyAlignment="1">
      <alignment horizontal="left" vertical="top" wrapText="1" indent="1"/>
    </xf>
    <xf numFmtId="0" fontId="8" fillId="0" borderId="3" xfId="0" applyFont="1" applyBorder="1" applyAlignment="1">
      <alignment horizontal="left" vertical="top" wrapText="1" indent="1"/>
    </xf>
    <xf numFmtId="0" fontId="8" fillId="6" borderId="3" xfId="0" applyFont="1" applyFill="1" applyBorder="1" applyAlignment="1">
      <alignment horizontal="left" vertical="top" wrapText="1"/>
    </xf>
    <xf numFmtId="0" fontId="13" fillId="0" borderId="3" xfId="0" applyFont="1" applyBorder="1" applyAlignment="1">
      <alignment horizontal="left" vertical="top" indent="1"/>
    </xf>
    <xf numFmtId="0" fontId="6" fillId="0" borderId="3" xfId="0" applyFont="1" applyBorder="1" applyAlignment="1">
      <alignment horizontal="left" vertical="top" indent="1"/>
    </xf>
    <xf numFmtId="0" fontId="8" fillId="0" borderId="3" xfId="0" applyFont="1" applyBorder="1" applyAlignment="1">
      <alignment horizontal="left" vertical="top" indent="1"/>
    </xf>
    <xf numFmtId="0" fontId="8" fillId="0" borderId="13" xfId="0" applyFont="1" applyBorder="1" applyAlignment="1">
      <alignment horizontal="left" vertical="top" indent="1"/>
    </xf>
    <xf numFmtId="0" fontId="14" fillId="6" borderId="22" xfId="0" applyFont="1" applyFill="1" applyBorder="1" applyAlignment="1">
      <alignment horizontal="left" vertical="top"/>
    </xf>
    <xf numFmtId="0" fontId="13" fillId="6" borderId="3" xfId="0" applyFont="1" applyFill="1" applyBorder="1" applyAlignment="1">
      <alignment horizontal="left" vertical="top" indent="1"/>
    </xf>
    <xf numFmtId="0" fontId="14" fillId="6" borderId="13" xfId="0" applyFont="1" applyFill="1" applyBorder="1" applyAlignment="1">
      <alignment horizontal="left" vertical="top" indent="1"/>
    </xf>
    <xf numFmtId="0" fontId="8" fillId="6" borderId="8" xfId="0" applyFont="1" applyFill="1" applyBorder="1" applyAlignment="1">
      <alignment vertical="center"/>
    </xf>
    <xf numFmtId="0" fontId="16" fillId="6" borderId="0" xfId="0" applyFont="1" applyFill="1" applyAlignment="1">
      <alignment horizontal="center" vertical="top" wrapText="1"/>
    </xf>
    <xf numFmtId="0" fontId="32" fillId="0" borderId="3" xfId="0" applyFont="1" applyBorder="1" applyAlignment="1" applyProtection="1">
      <alignment horizontal="left" vertical="center" wrapText="1"/>
      <protection locked="0"/>
    </xf>
    <xf numFmtId="0" fontId="0" fillId="0" borderId="0" xfId="0" applyProtection="1">
      <protection locked="0"/>
    </xf>
    <xf numFmtId="0" fontId="56" fillId="0" borderId="0" xfId="0" applyFont="1" applyProtection="1">
      <protection locked="0"/>
    </xf>
    <xf numFmtId="0" fontId="0" fillId="0" borderId="3" xfId="0" applyBorder="1" applyProtection="1">
      <protection locked="0"/>
    </xf>
    <xf numFmtId="0" fontId="0" fillId="0" borderId="3" xfId="0" applyBorder="1" applyAlignment="1" applyProtection="1">
      <alignment horizontal="center" vertical="center" wrapText="1"/>
      <protection locked="0"/>
    </xf>
    <xf numFmtId="14" fontId="32" fillId="0" borderId="3" xfId="0" applyNumberFormat="1" applyFont="1" applyBorder="1" applyAlignment="1" applyProtection="1">
      <alignment horizontal="center" vertical="center" wrapText="1"/>
      <protection locked="0"/>
    </xf>
    <xf numFmtId="10" fontId="0" fillId="9" borderId="3" xfId="1" applyNumberFormat="1" applyFont="1" applyFill="1" applyBorder="1" applyAlignment="1" applyProtection="1">
      <alignment horizontal="center" vertical="center" wrapText="1"/>
      <protection locked="0"/>
    </xf>
    <xf numFmtId="2" fontId="0" fillId="0" borderId="3" xfId="0" applyNumberFormat="1" applyBorder="1" applyAlignment="1" applyProtection="1">
      <alignment horizontal="center" vertical="center" wrapText="1"/>
      <protection locked="0"/>
    </xf>
    <xf numFmtId="10" fontId="0" fillId="0" borderId="3" xfId="1" applyNumberFormat="1" applyFont="1" applyBorder="1" applyAlignment="1" applyProtection="1">
      <alignment horizontal="center" vertical="center" wrapText="1"/>
      <protection locked="0"/>
    </xf>
    <xf numFmtId="0" fontId="0" fillId="0" borderId="15"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167" fontId="52" fillId="8" borderId="9" xfId="0" applyNumberFormat="1" applyFont="1" applyFill="1" applyBorder="1" applyAlignment="1">
      <alignment horizontal="right" vertical="center"/>
    </xf>
    <xf numFmtId="10" fontId="6" fillId="11" borderId="3" xfId="1" applyNumberFormat="1" applyFont="1" applyFill="1" applyBorder="1" applyAlignment="1">
      <alignment horizontal="right" vertical="center"/>
    </xf>
    <xf numFmtId="0" fontId="0" fillId="0" borderId="20" xfId="0" applyBorder="1" applyProtection="1">
      <protection locked="0"/>
    </xf>
    <xf numFmtId="0" fontId="0" fillId="0" borderId="7" xfId="0" applyBorder="1" applyProtection="1">
      <protection locked="0"/>
    </xf>
    <xf numFmtId="0" fontId="0" fillId="0" borderId="4" xfId="0" applyBorder="1" applyProtection="1">
      <protection locked="0"/>
    </xf>
    <xf numFmtId="0" fontId="23" fillId="0" borderId="18" xfId="0" applyFont="1" applyBorder="1"/>
    <xf numFmtId="0" fontId="0" fillId="0" borderId="9" xfId="0" applyBorder="1"/>
    <xf numFmtId="0" fontId="0" fillId="0" borderId="5" xfId="0" applyBorder="1"/>
    <xf numFmtId="0" fontId="2" fillId="0" borderId="0" xfId="0" applyFont="1" applyAlignment="1" applyProtection="1">
      <alignment vertical="top" wrapText="1"/>
      <protection locked="0"/>
    </xf>
    <xf numFmtId="0" fontId="33" fillId="9" borderId="7" xfId="0" applyFont="1" applyFill="1" applyBorder="1" applyAlignment="1">
      <alignment horizontal="center" vertical="center" wrapText="1"/>
    </xf>
    <xf numFmtId="0" fontId="30" fillId="9" borderId="9" xfId="0" applyFont="1" applyFill="1" applyBorder="1" applyAlignment="1">
      <alignment horizontal="center" vertical="center" wrapText="1"/>
    </xf>
    <xf numFmtId="0" fontId="23" fillId="6" borderId="0" xfId="0" applyFont="1" applyFill="1" applyAlignment="1">
      <alignment horizontal="center" vertical="center"/>
    </xf>
    <xf numFmtId="0" fontId="32" fillId="3" borderId="3" xfId="0" applyFont="1" applyFill="1" applyBorder="1" applyAlignment="1" applyProtection="1">
      <alignment horizontal="left" vertical="center" wrapText="1"/>
      <protection locked="0"/>
    </xf>
    <xf numFmtId="0" fontId="23" fillId="6" borderId="6" xfId="0" applyFont="1" applyFill="1" applyBorder="1" applyAlignment="1">
      <alignment horizontal="left" vertical="top"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0" fillId="0" borderId="33" xfId="0" applyBorder="1" applyAlignment="1">
      <alignment horizontal="center" vertical="center" wrapText="1"/>
    </xf>
    <xf numFmtId="0" fontId="0" fillId="0" borderId="23"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32" fillId="3" borderId="7" xfId="0" applyFont="1" applyFill="1" applyBorder="1" applyAlignment="1" applyProtection="1">
      <alignment horizontal="left" vertical="center"/>
      <protection locked="0"/>
    </xf>
    <xf numFmtId="0" fontId="32" fillId="3" borderId="8" xfId="0" applyFont="1" applyFill="1" applyBorder="1" applyAlignment="1" applyProtection="1">
      <alignment horizontal="left" vertical="center"/>
      <protection locked="0"/>
    </xf>
    <xf numFmtId="0" fontId="32" fillId="3" borderId="9" xfId="0" applyFont="1" applyFill="1" applyBorder="1" applyAlignment="1" applyProtection="1">
      <alignment horizontal="left" vertical="center"/>
      <protection locked="0"/>
    </xf>
    <xf numFmtId="0" fontId="29" fillId="10" borderId="1" xfId="0" applyFont="1" applyFill="1" applyBorder="1" applyAlignment="1" applyProtection="1">
      <alignment horizontal="center" wrapText="1"/>
      <protection locked="0"/>
    </xf>
    <xf numFmtId="0" fontId="26" fillId="6" borderId="3" xfId="0" applyFont="1" applyFill="1" applyBorder="1" applyAlignment="1">
      <alignment horizontal="left" vertical="top" wrapText="1"/>
    </xf>
    <xf numFmtId="0" fontId="23" fillId="6" borderId="3" xfId="0" applyFont="1" applyFill="1" applyBorder="1" applyAlignment="1">
      <alignment horizontal="left" vertical="top" wrapText="1"/>
    </xf>
    <xf numFmtId="0" fontId="37" fillId="10" borderId="1" xfId="0" applyFont="1" applyFill="1" applyBorder="1" applyAlignment="1" applyProtection="1">
      <alignment horizontal="center" wrapText="1"/>
      <protection locked="0"/>
    </xf>
    <xf numFmtId="0" fontId="26" fillId="0" borderId="0" xfId="0" applyFont="1" applyAlignment="1">
      <alignment horizontal="center" vertical="center" wrapText="1"/>
    </xf>
    <xf numFmtId="0" fontId="38" fillId="0" borderId="0" xfId="0" applyFont="1" applyAlignment="1">
      <alignment horizontal="center" vertical="center" wrapText="1"/>
    </xf>
    <xf numFmtId="0" fontId="30" fillId="10" borderId="3" xfId="0" applyFont="1" applyFill="1" applyBorder="1" applyAlignment="1" applyProtection="1">
      <alignment horizontal="left" vertical="top" wrapText="1"/>
      <protection locked="0"/>
    </xf>
    <xf numFmtId="0" fontId="23" fillId="6" borderId="4" xfId="0" applyFont="1" applyFill="1" applyBorder="1" applyAlignment="1">
      <alignment horizontal="left" vertical="center" wrapText="1"/>
    </xf>
    <xf numFmtId="0" fontId="23" fillId="6" borderId="25" xfId="0" applyFont="1" applyFill="1" applyBorder="1" applyAlignment="1">
      <alignment horizontal="left" vertical="center" wrapText="1"/>
    </xf>
    <xf numFmtId="0" fontId="30" fillId="10" borderId="10" xfId="0" applyFont="1" applyFill="1" applyBorder="1" applyAlignment="1" applyProtection="1">
      <alignment horizontal="center" vertical="top" wrapText="1"/>
      <protection locked="0"/>
    </xf>
    <xf numFmtId="0" fontId="30" fillId="10" borderId="29" xfId="0" applyFont="1" applyFill="1" applyBorder="1" applyAlignment="1" applyProtection="1">
      <alignment horizontal="center" vertical="top" wrapText="1"/>
      <protection locked="0"/>
    </xf>
    <xf numFmtId="0" fontId="30" fillId="10" borderId="13" xfId="0" applyFont="1" applyFill="1" applyBorder="1" applyAlignment="1" applyProtection="1">
      <alignment horizontal="center" vertical="top" wrapText="1"/>
      <protection locked="0"/>
    </xf>
    <xf numFmtId="0" fontId="30" fillId="0" borderId="2" xfId="0" applyFont="1" applyBorder="1" applyAlignment="1">
      <alignment horizontal="left" vertical="top" wrapText="1"/>
    </xf>
    <xf numFmtId="0" fontId="23" fillId="6" borderId="7" xfId="0" applyFont="1" applyFill="1" applyBorder="1" applyAlignment="1">
      <alignment horizontal="left" vertical="top" wrapText="1"/>
    </xf>
    <xf numFmtId="0" fontId="23" fillId="6" borderId="8" xfId="0" applyFont="1" applyFill="1" applyBorder="1" applyAlignment="1">
      <alignment horizontal="left" vertical="top" wrapText="1"/>
    </xf>
    <xf numFmtId="0" fontId="23" fillId="6" borderId="9" xfId="0" applyFont="1" applyFill="1" applyBorder="1" applyAlignment="1">
      <alignment horizontal="left" vertical="top" wrapText="1"/>
    </xf>
    <xf numFmtId="0" fontId="0" fillId="10" borderId="7" xfId="0" applyFill="1" applyBorder="1" applyAlignment="1" applyProtection="1">
      <alignment horizontal="center" vertical="center" wrapText="1"/>
      <protection locked="0"/>
    </xf>
    <xf numFmtId="0" fontId="0" fillId="10" borderId="9" xfId="0" applyFill="1" applyBorder="1" applyAlignment="1" applyProtection="1">
      <alignment horizontal="center" vertical="center" wrapText="1"/>
      <protection locked="0"/>
    </xf>
    <xf numFmtId="0" fontId="0" fillId="10" borderId="14" xfId="0" applyFill="1" applyBorder="1" applyAlignment="1" applyProtection="1">
      <alignment horizontal="center" vertical="center" wrapText="1"/>
      <protection locked="0"/>
    </xf>
    <xf numFmtId="0" fontId="0" fillId="10" borderId="27" xfId="0" applyFill="1" applyBorder="1" applyAlignment="1" applyProtection="1">
      <alignment horizontal="center" vertical="center" wrapText="1"/>
      <protection locked="0"/>
    </xf>
    <xf numFmtId="164" fontId="0" fillId="10" borderId="13" xfId="0" applyNumberFormat="1" applyFill="1" applyBorder="1" applyAlignment="1" applyProtection="1">
      <alignment horizontal="center" vertical="center" wrapText="1"/>
      <protection locked="0"/>
    </xf>
    <xf numFmtId="164" fontId="0" fillId="10" borderId="15" xfId="0" applyNumberFormat="1" applyFill="1" applyBorder="1" applyAlignment="1" applyProtection="1">
      <alignment horizontal="center" vertical="center" wrapText="1"/>
      <protection locked="0"/>
    </xf>
    <xf numFmtId="164" fontId="0" fillId="10" borderId="3" xfId="0" applyNumberFormat="1" applyFill="1" applyBorder="1" applyAlignment="1" applyProtection="1">
      <alignment horizontal="center" vertical="center" wrapText="1"/>
      <protection locked="0"/>
    </xf>
    <xf numFmtId="0" fontId="0" fillId="3" borderId="3" xfId="0" applyFill="1" applyBorder="1" applyAlignment="1" applyProtection="1">
      <alignment horizontal="left" vertical="center"/>
      <protection locked="0"/>
    </xf>
    <xf numFmtId="0" fontId="0" fillId="3" borderId="13" xfId="0" applyFill="1" applyBorder="1" applyAlignment="1" applyProtection="1">
      <alignment horizontal="left" vertical="center"/>
      <protection locked="0"/>
    </xf>
    <xf numFmtId="0" fontId="6" fillId="6" borderId="13" xfId="0" applyFont="1" applyFill="1" applyBorder="1" applyAlignment="1">
      <alignment horizontal="center" vertical="center" wrapText="1"/>
    </xf>
    <xf numFmtId="0" fontId="0" fillId="10" borderId="15" xfId="0" applyFill="1" applyBorder="1" applyAlignment="1" applyProtection="1">
      <alignment horizontal="center" vertical="center" wrapText="1"/>
      <protection locked="0"/>
    </xf>
    <xf numFmtId="0" fontId="0" fillId="10" borderId="3" xfId="0" applyFill="1" applyBorder="1" applyAlignment="1" applyProtection="1">
      <alignment horizontal="center" vertical="center" wrapText="1"/>
      <protection locked="0"/>
    </xf>
    <xf numFmtId="0" fontId="0" fillId="3" borderId="15" xfId="0" applyFill="1" applyBorder="1" applyAlignment="1" applyProtection="1">
      <alignment horizontal="left" vertical="center"/>
      <protection locked="0"/>
    </xf>
    <xf numFmtId="0" fontId="0" fillId="10" borderId="13" xfId="0" applyFill="1" applyBorder="1" applyAlignment="1" applyProtection="1">
      <alignment horizontal="center" vertical="center" wrapText="1"/>
      <protection locked="0"/>
    </xf>
    <xf numFmtId="0" fontId="30" fillId="0" borderId="0" xfId="0" applyFont="1" applyAlignment="1">
      <alignment horizontal="left" vertical="top" wrapText="1"/>
    </xf>
    <xf numFmtId="0" fontId="6" fillId="6" borderId="14" xfId="0" applyFont="1" applyFill="1" applyBorder="1" applyAlignment="1">
      <alignment horizontal="center" vertical="center" wrapText="1"/>
    </xf>
    <xf numFmtId="0" fontId="6" fillId="6" borderId="27" xfId="0" applyFont="1" applyFill="1" applyBorder="1" applyAlignment="1">
      <alignment horizontal="center" vertical="center" wrapText="1"/>
    </xf>
    <xf numFmtId="0" fontId="6" fillId="6" borderId="6" xfId="0" applyFont="1" applyFill="1" applyBorder="1" applyAlignment="1">
      <alignment horizontal="center" vertical="center"/>
    </xf>
    <xf numFmtId="0" fontId="6" fillId="6" borderId="12" xfId="0" applyFont="1" applyFill="1" applyBorder="1" applyAlignment="1">
      <alignment horizontal="center" vertical="center"/>
    </xf>
    <xf numFmtId="0" fontId="6" fillId="6" borderId="6" xfId="0" applyFont="1" applyFill="1" applyBorder="1" applyAlignment="1">
      <alignment horizontal="center" vertical="center" wrapText="1"/>
    </xf>
    <xf numFmtId="0" fontId="6" fillId="6" borderId="12" xfId="0" applyFont="1" applyFill="1" applyBorder="1" applyAlignment="1">
      <alignment horizontal="center" vertical="center" wrapText="1"/>
    </xf>
    <xf numFmtId="0" fontId="8" fillId="6" borderId="7" xfId="0" applyFont="1" applyFill="1" applyBorder="1" applyAlignment="1">
      <alignment horizontal="center" vertical="center"/>
    </xf>
    <xf numFmtId="0" fontId="8" fillId="6" borderId="8" xfId="0" applyFont="1" applyFill="1" applyBorder="1" applyAlignment="1">
      <alignment horizontal="center" vertical="center"/>
    </xf>
    <xf numFmtId="0" fontId="8" fillId="6" borderId="9" xfId="0" applyFont="1" applyFill="1" applyBorder="1" applyAlignment="1">
      <alignment horizontal="center" vertical="center"/>
    </xf>
    <xf numFmtId="0" fontId="0" fillId="10" borderId="20" xfId="0" applyFill="1" applyBorder="1" applyAlignment="1" applyProtection="1">
      <alignment horizontal="center" vertical="center" wrapText="1"/>
      <protection locked="0"/>
    </xf>
    <xf numFmtId="0" fontId="0" fillId="10" borderId="18" xfId="0" applyFill="1" applyBorder="1" applyAlignment="1" applyProtection="1">
      <alignment horizontal="center" vertical="center" wrapText="1"/>
      <protection locked="0"/>
    </xf>
    <xf numFmtId="0" fontId="23" fillId="6" borderId="3" xfId="0" applyFont="1" applyFill="1" applyBorder="1" applyAlignment="1">
      <alignment horizontal="left" vertical="center" wrapText="1"/>
    </xf>
    <xf numFmtId="0" fontId="4" fillId="6" borderId="0" xfId="0" applyFont="1" applyFill="1" applyAlignment="1">
      <alignment horizontal="left" vertical="center"/>
    </xf>
    <xf numFmtId="0" fontId="8" fillId="6" borderId="4" xfId="0" applyFont="1" applyFill="1" applyBorder="1" applyAlignment="1">
      <alignment horizontal="center" vertical="center"/>
    </xf>
    <xf numFmtId="0" fontId="8" fillId="6" borderId="5" xfId="0" applyFont="1" applyFill="1" applyBorder="1" applyAlignment="1">
      <alignment horizontal="center" vertical="center"/>
    </xf>
    <xf numFmtId="0" fontId="8" fillId="6" borderId="10" xfId="0" applyFont="1" applyFill="1" applyBorder="1" applyAlignment="1">
      <alignment horizontal="center" vertical="center"/>
    </xf>
    <xf numFmtId="0" fontId="8" fillId="6" borderId="11" xfId="0" applyFont="1" applyFill="1" applyBorder="1" applyAlignment="1">
      <alignment horizontal="center" vertical="center"/>
    </xf>
    <xf numFmtId="0" fontId="8" fillId="6" borderId="6" xfId="0" applyFont="1" applyFill="1" applyBorder="1" applyAlignment="1">
      <alignment horizontal="center" vertical="center" wrapText="1"/>
    </xf>
    <xf numFmtId="0" fontId="8" fillId="6" borderId="12" xfId="0" applyFont="1" applyFill="1" applyBorder="1" applyAlignment="1">
      <alignment horizontal="center" vertical="center" wrapText="1"/>
    </xf>
    <xf numFmtId="0" fontId="8" fillId="10" borderId="15" xfId="0" applyFont="1" applyFill="1" applyBorder="1" applyAlignment="1" applyProtection="1">
      <alignment horizontal="center" vertical="center"/>
      <protection locked="0"/>
    </xf>
    <xf numFmtId="0" fontId="6" fillId="10" borderId="17" xfId="0" applyFont="1" applyFill="1" applyBorder="1" applyAlignment="1" applyProtection="1">
      <alignment horizontal="left" vertical="center" wrapText="1"/>
      <protection locked="0"/>
    </xf>
    <xf numFmtId="0" fontId="6" fillId="10" borderId="3" xfId="0" applyFont="1" applyFill="1" applyBorder="1" applyAlignment="1" applyProtection="1">
      <alignment horizontal="center" vertical="center" wrapText="1"/>
      <protection locked="0"/>
    </xf>
    <xf numFmtId="0" fontId="8" fillId="10" borderId="2" xfId="0" applyFont="1" applyFill="1" applyBorder="1" applyAlignment="1" applyProtection="1">
      <alignment horizontal="center" vertical="center"/>
      <protection locked="0"/>
    </xf>
    <xf numFmtId="0" fontId="6" fillId="10" borderId="8" xfId="0" applyFont="1" applyFill="1" applyBorder="1" applyAlignment="1" applyProtection="1">
      <alignment horizontal="center" vertical="center" wrapText="1"/>
      <protection locked="0"/>
    </xf>
    <xf numFmtId="0" fontId="8" fillId="10" borderId="20" xfId="0" applyFont="1" applyFill="1" applyBorder="1" applyAlignment="1" applyProtection="1">
      <alignment horizontal="center" vertical="center"/>
      <protection locked="0"/>
    </xf>
    <xf numFmtId="0" fontId="6" fillId="10" borderId="7" xfId="0" applyFont="1" applyFill="1" applyBorder="1" applyAlignment="1" applyProtection="1">
      <alignment horizontal="center" vertical="center" wrapText="1"/>
      <protection locked="0"/>
    </xf>
    <xf numFmtId="0" fontId="8" fillId="10" borderId="38" xfId="0" applyFont="1" applyFill="1" applyBorder="1" applyAlignment="1" applyProtection="1">
      <alignment horizontal="center" vertical="center"/>
      <protection locked="0"/>
    </xf>
    <xf numFmtId="0" fontId="8" fillId="10" borderId="39" xfId="0" applyFont="1" applyFill="1" applyBorder="1" applyAlignment="1" applyProtection="1">
      <alignment horizontal="center" vertical="center"/>
      <protection locked="0"/>
    </xf>
    <xf numFmtId="0" fontId="6" fillId="10" borderId="16" xfId="0" applyFont="1" applyFill="1" applyBorder="1" applyAlignment="1" applyProtection="1">
      <alignment horizontal="left" vertical="center" wrapText="1"/>
      <protection locked="0"/>
    </xf>
    <xf numFmtId="0" fontId="6" fillId="10" borderId="36" xfId="0" applyFont="1" applyFill="1" applyBorder="1" applyAlignment="1" applyProtection="1">
      <alignment horizontal="left" vertical="center" wrapText="1"/>
      <protection locked="0"/>
    </xf>
    <xf numFmtId="0" fontId="6" fillId="10" borderId="37" xfId="0" applyFont="1" applyFill="1" applyBorder="1" applyAlignment="1" applyProtection="1">
      <alignment horizontal="left" vertical="center" wrapText="1"/>
      <protection locked="0"/>
    </xf>
    <xf numFmtId="0" fontId="6" fillId="10" borderId="7" xfId="0" applyFont="1" applyFill="1" applyBorder="1" applyAlignment="1" applyProtection="1">
      <alignment horizontal="left" vertical="center"/>
      <protection locked="0"/>
    </xf>
    <xf numFmtId="0" fontId="6" fillId="10" borderId="9" xfId="0" applyFont="1" applyFill="1" applyBorder="1" applyAlignment="1" applyProtection="1">
      <alignment horizontal="left" vertical="center"/>
      <protection locked="0"/>
    </xf>
    <xf numFmtId="0" fontId="4" fillId="6" borderId="0" xfId="0" applyFont="1" applyFill="1" applyAlignment="1">
      <alignment horizontal="left" vertical="top"/>
    </xf>
    <xf numFmtId="0" fontId="4" fillId="6" borderId="3" xfId="0" applyFont="1" applyFill="1" applyBorder="1" applyAlignment="1">
      <alignment horizontal="left" vertical="center"/>
    </xf>
    <xf numFmtId="0" fontId="8" fillId="6" borderId="0" xfId="0" applyFont="1" applyFill="1" applyAlignment="1">
      <alignment horizontal="left" vertical="top" wrapText="1"/>
    </xf>
    <xf numFmtId="0" fontId="30" fillId="0" borderId="0" xfId="0" applyFont="1" applyAlignment="1">
      <alignment horizontal="left" vertical="center" wrapText="1"/>
    </xf>
    <xf numFmtId="0" fontId="51" fillId="0" borderId="0" xfId="0" applyFont="1" applyAlignment="1">
      <alignment horizontal="left" vertical="center" wrapText="1"/>
    </xf>
    <xf numFmtId="0" fontId="51" fillId="0" borderId="0" xfId="0" applyFont="1" applyAlignment="1">
      <alignment horizontal="center" vertical="center" wrapText="1"/>
    </xf>
    <xf numFmtId="0" fontId="4" fillId="6" borderId="0" xfId="0" applyFont="1" applyFill="1" applyAlignment="1">
      <alignment horizontal="left" vertical="top" wrapText="1"/>
    </xf>
    <xf numFmtId="0" fontId="3" fillId="6" borderId="6" xfId="0" applyFont="1" applyFill="1" applyBorder="1" applyAlignment="1">
      <alignment horizontal="center" vertical="center" wrapText="1"/>
    </xf>
    <xf numFmtId="0" fontId="3" fillId="6" borderId="12" xfId="0" applyFont="1" applyFill="1" applyBorder="1" applyAlignment="1">
      <alignment horizontal="center" vertical="center" wrapText="1"/>
    </xf>
    <xf numFmtId="0" fontId="6" fillId="10" borderId="15" xfId="0" applyFont="1" applyFill="1" applyBorder="1" applyAlignment="1" applyProtection="1">
      <alignment horizontal="left" vertical="center"/>
      <protection locked="0"/>
    </xf>
    <xf numFmtId="0" fontId="6" fillId="10" borderId="3" xfId="0" applyFont="1" applyFill="1" applyBorder="1" applyAlignment="1" applyProtection="1">
      <alignment horizontal="left" vertical="center"/>
      <protection locked="0"/>
    </xf>
    <xf numFmtId="0" fontId="6" fillId="10" borderId="7" xfId="0" applyFont="1" applyFill="1" applyBorder="1" applyAlignment="1" applyProtection="1">
      <alignment horizontal="left" vertical="center" wrapText="1"/>
      <protection locked="0"/>
    </xf>
    <xf numFmtId="0" fontId="6" fillId="10" borderId="8" xfId="0" applyFont="1" applyFill="1" applyBorder="1" applyAlignment="1" applyProtection="1">
      <alignment horizontal="left" vertical="center" wrapText="1"/>
      <protection locked="0"/>
    </xf>
    <xf numFmtId="0" fontId="6" fillId="10" borderId="9" xfId="0" applyFont="1" applyFill="1" applyBorder="1" applyAlignment="1" applyProtection="1">
      <alignment horizontal="left" vertical="center" wrapText="1"/>
      <protection locked="0"/>
    </xf>
    <xf numFmtId="0" fontId="6" fillId="10" borderId="20" xfId="0" applyFont="1" applyFill="1" applyBorder="1" applyAlignment="1" applyProtection="1">
      <alignment horizontal="left" vertical="center" wrapText="1"/>
      <protection locked="0"/>
    </xf>
    <xf numFmtId="0" fontId="6" fillId="10" borderId="2" xfId="0" applyFont="1" applyFill="1" applyBorder="1" applyAlignment="1" applyProtection="1">
      <alignment horizontal="left" vertical="center" wrapText="1"/>
      <protection locked="0"/>
    </xf>
    <xf numFmtId="0" fontId="6" fillId="10" borderId="18" xfId="0" applyFont="1" applyFill="1" applyBorder="1" applyAlignment="1" applyProtection="1">
      <alignment horizontal="left" vertical="center" wrapText="1"/>
      <protection locked="0"/>
    </xf>
    <xf numFmtId="0" fontId="2" fillId="6" borderId="3"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3" fillId="6" borderId="13"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25"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0" xfId="0" applyFont="1" applyFill="1" applyBorder="1" applyAlignment="1">
      <alignment horizontal="center" vertical="center" wrapText="1"/>
    </xf>
    <xf numFmtId="0" fontId="3" fillId="6" borderId="29" xfId="0" applyFont="1" applyFill="1" applyBorder="1" applyAlignment="1">
      <alignment horizontal="center" vertical="center" wrapText="1"/>
    </xf>
    <xf numFmtId="0" fontId="3" fillId="6" borderId="11" xfId="0" applyFont="1" applyFill="1" applyBorder="1" applyAlignment="1">
      <alignment horizontal="center" vertical="center" wrapText="1"/>
    </xf>
    <xf numFmtId="0" fontId="11" fillId="6" borderId="6" xfId="0" applyFont="1" applyFill="1" applyBorder="1" applyAlignment="1">
      <alignment horizontal="center" vertical="center" wrapText="1"/>
    </xf>
    <xf numFmtId="0" fontId="11" fillId="6" borderId="12" xfId="0" applyFont="1" applyFill="1" applyBorder="1" applyAlignment="1">
      <alignment horizontal="center" vertical="center" wrapText="1"/>
    </xf>
    <xf numFmtId="0" fontId="6" fillId="10" borderId="13" xfId="0" applyFont="1" applyFill="1" applyBorder="1" applyAlignment="1" applyProtection="1">
      <alignment horizontal="left" vertical="center"/>
      <protection locked="0"/>
    </xf>
    <xf numFmtId="0" fontId="6" fillId="10" borderId="14" xfId="0" applyFont="1" applyFill="1" applyBorder="1" applyAlignment="1" applyProtection="1">
      <alignment horizontal="left" vertical="center" wrapText="1"/>
      <protection locked="0"/>
    </xf>
    <xf numFmtId="0" fontId="6" fillId="10" borderId="28" xfId="0" applyFont="1" applyFill="1" applyBorder="1" applyAlignment="1" applyProtection="1">
      <alignment horizontal="left" vertical="center" wrapText="1"/>
      <protection locked="0"/>
    </xf>
    <xf numFmtId="0" fontId="6" fillId="10" borderId="27" xfId="0" applyFont="1" applyFill="1" applyBorder="1" applyAlignment="1" applyProtection="1">
      <alignment horizontal="left" vertical="center" wrapText="1"/>
      <protection locked="0"/>
    </xf>
    <xf numFmtId="0" fontId="4" fillId="0" borderId="10" xfId="0" applyFont="1" applyBorder="1" applyAlignment="1">
      <alignment horizontal="center" vertical="center"/>
    </xf>
    <xf numFmtId="0" fontId="4" fillId="0" borderId="29" xfId="0" applyFont="1" applyBorder="1" applyAlignment="1">
      <alignment horizontal="center" vertical="center"/>
    </xf>
    <xf numFmtId="0" fontId="8" fillId="6" borderId="6" xfId="0" applyFont="1" applyFill="1" applyBorder="1" applyAlignment="1">
      <alignment horizontal="center" vertical="center"/>
    </xf>
    <xf numFmtId="0" fontId="8" fillId="6" borderId="12" xfId="0" applyFont="1" applyFill="1" applyBorder="1" applyAlignment="1">
      <alignment horizontal="center" vertical="center"/>
    </xf>
    <xf numFmtId="167" fontId="6" fillId="10" borderId="7" xfId="0" applyNumberFormat="1" applyFont="1" applyFill="1" applyBorder="1" applyAlignment="1" applyProtection="1">
      <alignment horizontal="left" vertical="center"/>
      <protection locked="0"/>
    </xf>
    <xf numFmtId="167" fontId="6" fillId="10" borderId="8" xfId="0" applyNumberFormat="1" applyFont="1" applyFill="1" applyBorder="1" applyAlignment="1" applyProtection="1">
      <alignment horizontal="left" vertical="center"/>
      <protection locked="0"/>
    </xf>
    <xf numFmtId="2" fontId="6" fillId="6" borderId="0" xfId="0" applyNumberFormat="1" applyFont="1" applyFill="1" applyAlignment="1">
      <alignment horizontal="center" vertical="center"/>
    </xf>
    <xf numFmtId="10" fontId="6" fillId="6" borderId="0" xfId="1" applyNumberFormat="1" applyFont="1" applyFill="1" applyAlignment="1">
      <alignment horizontal="center" vertical="center"/>
    </xf>
    <xf numFmtId="0" fontId="16" fillId="6" borderId="0" xfId="0" applyFont="1" applyFill="1" applyAlignment="1">
      <alignment horizontal="center" vertical="top" wrapText="1"/>
    </xf>
    <xf numFmtId="0" fontId="11" fillId="6" borderId="6" xfId="0" applyFont="1" applyFill="1" applyBorder="1" applyAlignment="1">
      <alignment horizontal="center" vertical="center"/>
    </xf>
    <xf numFmtId="0" fontId="11" fillId="6" borderId="12" xfId="0" applyFont="1" applyFill="1" applyBorder="1" applyAlignment="1">
      <alignment horizontal="center" vertical="center"/>
    </xf>
    <xf numFmtId="0" fontId="2" fillId="6" borderId="0" xfId="0" applyFont="1" applyFill="1" applyAlignment="1">
      <alignment horizontal="center" vertical="center" wrapText="1"/>
    </xf>
    <xf numFmtId="0" fontId="2" fillId="0" borderId="0" xfId="0" applyFont="1" applyAlignment="1" applyProtection="1">
      <alignment horizontal="center" vertical="top" wrapText="1"/>
      <protection locked="0"/>
    </xf>
    <xf numFmtId="0" fontId="4" fillId="0" borderId="0" xfId="0" applyFont="1" applyAlignment="1">
      <alignment horizontal="center" vertical="top"/>
    </xf>
  </cellXfs>
  <cellStyles count="3">
    <cellStyle name="Hipersaitas" xfId="2" builtinId="8"/>
    <cellStyle name="Įprastas" xfId="0" builtinId="0"/>
    <cellStyle name="Procentai" xfId="1" builtinId="5"/>
  </cellStyles>
  <dxfs count="136">
    <dxf>
      <fill>
        <patternFill>
          <bgColor rgb="FFFFF0D2"/>
        </patternFill>
      </fill>
    </dxf>
    <dxf>
      <fill>
        <patternFill>
          <bgColor theme="1" tint="0.499984740745262"/>
        </patternFill>
      </fill>
    </dxf>
    <dxf>
      <font>
        <color rgb="FFC00000"/>
      </font>
      <fill>
        <patternFill>
          <bgColor rgb="FFFFCDCD"/>
        </patternFill>
      </fill>
    </dxf>
    <dxf>
      <font>
        <color rgb="FFC00000"/>
      </font>
      <fill>
        <patternFill>
          <bgColor rgb="FFFFCCCC"/>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theme="5" tint="0.79998168889431442"/>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C00000"/>
      </font>
      <fill>
        <patternFill>
          <bgColor rgb="FFFFCDCD"/>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DCD"/>
        </patternFill>
      </fill>
    </dxf>
    <dxf>
      <fill>
        <patternFill>
          <bgColor rgb="FFFFF0D2"/>
        </patternFill>
      </fill>
    </dxf>
    <dxf>
      <fill>
        <patternFill>
          <bgColor theme="1" tint="0.49998474074526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FF0000"/>
      </font>
      <fill>
        <patternFill patternType="solid">
          <bgColor theme="0" tint="-4.9989318521683403E-2"/>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ill>
        <patternFill>
          <bgColor rgb="FFFFF0D2"/>
        </patternFill>
      </fill>
    </dxf>
    <dxf>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C00000"/>
      </font>
      <fill>
        <patternFill patternType="solid">
          <bgColor rgb="FFFFCDCD"/>
        </patternFill>
      </fill>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9C0006"/>
      </font>
      <fill>
        <patternFill>
          <bgColor rgb="FFFFC7CE"/>
        </patternFill>
      </fill>
    </dxf>
    <dxf>
      <fill>
        <patternFill>
          <bgColor rgb="FFFFF0D2"/>
        </patternFill>
      </fill>
    </dxf>
    <dxf>
      <fill>
        <patternFill>
          <bgColor theme="1" tint="0.499984740745262"/>
        </patternFill>
      </fill>
    </dxf>
    <dxf>
      <border>
        <left style="thin">
          <color auto="1"/>
        </left>
        <right style="thin">
          <color auto="1"/>
        </right>
        <bottom style="thin">
          <color auto="1"/>
        </bottom>
        <vertical/>
        <horizontal/>
      </border>
    </dxf>
    <dxf>
      <font>
        <color theme="5" tint="-0.24994659260841701"/>
      </font>
      <fill>
        <patternFill>
          <bgColor rgb="FFFFE69B"/>
        </patternFill>
      </fill>
    </dxf>
    <dxf>
      <font>
        <color rgb="FFC00000"/>
      </font>
      <fill>
        <patternFill>
          <bgColor theme="5" tint="0.79998168889431442"/>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ont>
        <color rgb="FFFF0000"/>
      </font>
      <border>
        <left style="thin">
          <color auto="1"/>
        </left>
        <right style="thin">
          <color auto="1"/>
        </right>
        <top style="thin">
          <color auto="1"/>
        </top>
        <bottom style="thin">
          <color auto="1"/>
        </bottom>
        <vertical/>
        <horizontal/>
      </border>
    </dxf>
    <dxf>
      <font>
        <color rgb="FF9C0006"/>
      </font>
      <fill>
        <patternFill>
          <bgColor rgb="FFFFC7CE"/>
        </patternFill>
      </fill>
    </dxf>
    <dxf>
      <fill>
        <patternFill>
          <bgColor rgb="FFFFF0D2"/>
        </patternFill>
      </fill>
    </dxf>
    <dxf>
      <fill>
        <patternFill>
          <bgColor theme="1" tint="0.499984740745262"/>
        </patternFill>
      </fill>
    </dxf>
    <dxf>
      <font>
        <color theme="9" tint="-0.499984740745262"/>
      </font>
      <fill>
        <patternFill>
          <bgColor theme="9" tint="0.79998168889431442"/>
        </patternFill>
      </fill>
    </dxf>
    <dxf>
      <font>
        <color rgb="FFC00000"/>
      </font>
      <fill>
        <patternFill>
          <bgColor theme="5" tint="0.79998168889431442"/>
        </patternFill>
      </fill>
    </dxf>
    <dxf>
      <font>
        <color theme="5" tint="-0.24994659260841701"/>
      </font>
      <fill>
        <patternFill>
          <bgColor rgb="FFFFE69B"/>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rgb="FFFFCDCD"/>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rgb="FFFFCDCD"/>
        </patternFill>
      </fill>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CCC"/>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dxf>
    <dxf>
      <font>
        <color rgb="FFC00000"/>
      </font>
      <fill>
        <patternFill>
          <bgColor rgb="FFFFCDCD"/>
        </patternFill>
      </fill>
      <border>
        <left style="thin">
          <color auto="1"/>
        </left>
        <right style="thin">
          <color auto="1"/>
        </right>
        <top style="thin">
          <color auto="1"/>
        </top>
        <bottom style="thin">
          <color auto="1"/>
        </bottom>
        <vertical/>
        <horizontal/>
      </border>
    </dxf>
    <dxf>
      <font>
        <color rgb="FFC00000"/>
      </font>
      <fill>
        <patternFill>
          <bgColor rgb="FFFFCDCD"/>
        </patternFill>
      </fill>
    </dxf>
    <dxf>
      <fill>
        <patternFill>
          <bgColor rgb="FFFFF0D2"/>
        </patternFill>
      </fill>
    </dxf>
    <dxf>
      <fill>
        <patternFill>
          <bgColor theme="1" tint="0.499984740745262"/>
        </patternFill>
      </fill>
    </dxf>
    <dxf>
      <font>
        <color rgb="FFC00000"/>
      </font>
      <fill>
        <patternFill>
          <bgColor rgb="FFFFCCFF"/>
        </patternFill>
      </fill>
    </dxf>
    <dxf>
      <numFmt numFmtId="166" formatCode="0;\-0;&quot;-&quot;"/>
      <fill>
        <patternFill>
          <bgColor theme="1" tint="0.499984740745262"/>
        </patternFill>
      </fill>
    </dxf>
    <dxf>
      <fill>
        <patternFill>
          <bgColor rgb="FFFFF0D2"/>
        </patternFill>
      </fill>
    </dxf>
    <dxf>
      <fill>
        <patternFill>
          <bgColor theme="1" tint="0.499984740745262"/>
        </patternFill>
      </fill>
    </dxf>
    <dxf>
      <font>
        <color rgb="FFC00000"/>
      </font>
      <fill>
        <patternFill>
          <bgColor rgb="FFFFCDCD"/>
        </patternFill>
      </fill>
    </dxf>
    <dxf>
      <border>
        <right style="thin">
          <color auto="1"/>
        </right>
        <bottom style="thin">
          <color auto="1"/>
        </bottom>
        <vertical/>
        <horizontal/>
      </border>
    </dxf>
    <dxf>
      <border>
        <right style="thin">
          <color auto="1"/>
        </right>
        <bottom style="thin">
          <color auto="1"/>
        </bottom>
        <vertical/>
        <horizontal/>
      </border>
    </dxf>
    <dxf>
      <border>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border>
        <left style="thin">
          <color auto="1"/>
        </left>
        <bottom style="thin">
          <color auto="1"/>
        </bottom>
        <vertical/>
        <horizontal/>
      </border>
    </dxf>
    <dxf>
      <font>
        <color rgb="FFC00000"/>
      </font>
      <fill>
        <patternFill>
          <bgColor rgb="FFFFCDCD"/>
        </patternFill>
      </fill>
    </dxf>
    <dxf>
      <border>
        <bottom style="thin">
          <color auto="1"/>
        </bottom>
        <vertical/>
        <horizontal/>
      </border>
    </dxf>
    <dxf>
      <border>
        <left style="thin">
          <color auto="1"/>
        </left>
        <bottom/>
        <vertical/>
        <horizontal/>
      </border>
    </dxf>
    <dxf>
      <border>
        <left style="thin">
          <color auto="1"/>
        </left>
        <bottom style="thin">
          <color auto="1"/>
        </bottom>
        <vertical/>
        <horizontal/>
      </border>
    </dxf>
    <dxf>
      <font>
        <color rgb="FFC00000"/>
      </font>
      <fill>
        <patternFill>
          <bgColor theme="5" tint="0.79998168889431442"/>
        </patternFill>
      </fill>
    </dxf>
    <dxf>
      <font>
        <b val="0"/>
        <i val="0"/>
        <strike val="0"/>
        <condense val="0"/>
        <extend val="0"/>
        <outline val="0"/>
        <shadow val="0"/>
        <u val="none"/>
        <vertAlign val="baseline"/>
        <sz val="10"/>
        <color theme="1"/>
        <name val="Calibri"/>
        <family val="2"/>
        <charset val="186"/>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general" vertical="center" textRotation="0" wrapText="0" indent="0" justifyLastLine="0" shrinkToFit="0" readingOrder="0"/>
    </dxf>
    <dxf>
      <font>
        <b val="0"/>
        <i val="0"/>
        <strike val="0"/>
        <condense val="0"/>
        <extend val="0"/>
        <outline val="0"/>
        <shadow val="0"/>
        <u val="none"/>
        <vertAlign val="baseline"/>
        <sz val="10"/>
        <color theme="1"/>
        <name val="Calibri"/>
        <family val="2"/>
        <charset val="186"/>
        <scheme val="minor"/>
      </font>
      <alignment horizontal="center" vertical="center" textRotation="0" wrapText="1" indent="0" justifyLastLine="0" shrinkToFit="0" readingOrder="0"/>
    </dxf>
    <dxf>
      <alignment horizontal="general"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general" vertical="center" textRotation="0" wrapText="1" indent="0" justifyLastLine="0" shrinkToFit="0" readingOrder="0"/>
    </dxf>
    <dxf>
      <alignment horizontal="center" vertical="center" textRotation="0" wrapText="0" indent="0" justifyLastLine="0" shrinkToFit="0" readingOrder="0"/>
    </dxf>
    <dxf>
      <alignment horizontal="center" vertical="center" textRotation="0" wrapText="1" indent="0" justifyLastLine="0" shrinkToFit="0" readingOrder="0"/>
    </dxf>
    <dxf>
      <numFmt numFmtId="0" formatCode="General"/>
    </dxf>
    <dxf>
      <numFmt numFmtId="0" formatCode="General"/>
    </dxf>
    <dxf>
      <border diagonalUp="0" diagonalDown="0">
        <left style="thin">
          <color indexed="64"/>
        </left>
        <right/>
        <top style="thin">
          <color indexed="64"/>
        </top>
        <bottom style="thin">
          <color indexed="64"/>
        </bottom>
        <vertical style="thin">
          <color indexed="64"/>
        </vertical>
        <horizontal style="thin">
          <color indexed="64"/>
        </horizontal>
      </border>
      <protection locked="0" hidden="0"/>
    </dxf>
    <dxf>
      <border diagonalUp="0" diagonalDown="0">
        <left/>
        <right style="thin">
          <color indexed="64"/>
        </right>
        <top style="thin">
          <color indexed="64"/>
        </top>
        <bottom style="thin">
          <color indexed="64"/>
        </bottom>
        <vertical style="thin">
          <color indexed="64"/>
        </vertical>
        <horizontal style="thin">
          <color indexed="64"/>
        </horizontal>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protection locked="0" hidden="0"/>
    </dxf>
    <dxf>
      <border>
        <bottom style="thin">
          <color indexed="64"/>
        </bottom>
      </border>
    </dxf>
    <dxf>
      <font>
        <b/>
        <i val="0"/>
        <strike val="0"/>
        <condense val="0"/>
        <extend val="0"/>
        <outline val="0"/>
        <shadow val="0"/>
        <u val="none"/>
        <vertAlign val="baseline"/>
        <sz val="11"/>
        <color theme="1"/>
        <name val="Calibri"/>
        <family val="2"/>
        <charset val="186"/>
        <scheme val="minor"/>
      </font>
      <border diagonalUp="0" diagonalDown="0">
        <left style="thin">
          <color indexed="64"/>
        </left>
        <right style="thin">
          <color indexed="64"/>
        </right>
        <top/>
        <bottom/>
        <vertical style="thin">
          <color indexed="64"/>
        </vertical>
        <horizontal style="thin">
          <color indexed="64"/>
        </horizontal>
      </border>
      <protection locked="0" hidden="0"/>
    </dxf>
  </dxfs>
  <tableStyles count="0" defaultTableStyle="TableStyleMedium2" defaultPivotStyle="PivotStyleLight16"/>
  <colors>
    <mruColors>
      <color rgb="FFFFE69B"/>
      <color rgb="FFFFCDCD"/>
      <color rgb="FFFFF0D2"/>
      <color rgb="FFFFDCD2"/>
      <color rgb="FFFADCD2"/>
      <color rgb="FFFADCDC"/>
      <color rgb="FFFFC8E6"/>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533400</xdr:colOff>
          <xdr:row>8</xdr:row>
          <xdr:rowOff>99060</xdr:rowOff>
        </xdr:from>
        <xdr:to>
          <xdr:col>8</xdr:col>
          <xdr:colOff>236220</xdr:colOff>
          <xdr:row>10</xdr:row>
          <xdr:rowOff>137160</xdr:rowOff>
        </xdr:to>
        <xdr:sp macro="" textlink="">
          <xdr:nvSpPr>
            <xdr:cNvPr id="1025" name="Button 1" hidden="1">
              <a:extLst>
                <a:ext uri="{63B3BB69-23CF-44E3-9099-C40C66FF867C}">
                  <a14:compatExt spid="_x0000_s1025"/>
                </a:ext>
                <a:ext uri="{FF2B5EF4-FFF2-40B4-BE49-F238E27FC236}">
                  <a16:creationId xmlns:a16="http://schemas.microsoft.com/office/drawing/2014/main" id="{00000000-0008-0000-1000-000001040000}"/>
                </a:ext>
              </a:extLst>
            </xdr:cNvPr>
            <xdr:cNvSpPr/>
          </xdr:nvSpPr>
          <xdr:spPr bwMode="auto">
            <a:xfrm>
              <a:off x="0" y="0"/>
              <a:ext cx="0" cy="0"/>
            </a:xfrm>
            <a:prstGeom prst="rect">
              <a:avLst/>
            </a:prstGeom>
            <a:noFill/>
            <a:ln w="9525">
              <a:miter lim="800000"/>
              <a:headEnd/>
              <a:tailEnd/>
            </a:ln>
          </xdr:spPr>
          <xdr:txBody>
            <a:bodyPr vertOverflow="clip" wrap="square" lIns="36576" tIns="32004" rIns="36576" bIns="32004" anchor="ctr" upright="1"/>
            <a:lstStyle/>
            <a:p>
              <a:pPr algn="ctr" rtl="0">
                <a:defRPr sz="1000"/>
              </a:pPr>
              <a:r>
                <a:rPr lang="en-US" sz="1100" b="0" i="0" u="none" strike="noStrike" baseline="0">
                  <a:solidFill>
                    <a:srgbClr val="000000"/>
                  </a:solidFill>
                  <a:latin typeface="Calibri"/>
                  <a:ea typeface="Calibri"/>
                  <a:cs typeface="Calibri"/>
                </a:rPr>
                <a:t>Išsaugoti PDF</a:t>
              </a:r>
            </a:p>
            <a:p>
              <a:pPr algn="ctr" rtl="0">
                <a:defRPr sz="1000"/>
              </a:pPr>
              <a:endParaRPr lang="en-US" sz="1100" b="0" i="0" u="none" strike="noStrike" baseline="0">
                <a:solidFill>
                  <a:srgbClr val="000000"/>
                </a:solidFill>
                <a:latin typeface="Calibri"/>
                <a:ea typeface="Calibri"/>
                <a:cs typeface="Calibri"/>
              </a:endParaRPr>
            </a:p>
          </xdr:txBody>
        </xdr:sp>
        <xdr:clientData fPrintsWithSheet="0"/>
      </xdr:twoCellAnchor>
    </mc:Choice>
    <mc:Fallback/>
  </mc:AlternateContent>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1524F5D-2BBC-453C-84CA-5AA570F5C477}" name="ParamosIšmokėjimoBūdai" displayName="ParamosIšmokėjimoBūdai" ref="A84:C87" totalsRowShown="0">
  <autoFilter ref="A84:C87" xr:uid="{31524F5D-2BBC-453C-84CA-5AA570F5C477}"/>
  <tableColumns count="3">
    <tableColumn id="1" xr3:uid="{BA3F9CCE-4302-463C-85E7-929FE3626EA1}" name="Meniu_Būdas" dataDxfId="128"/>
    <tableColumn id="2" xr3:uid="{5D61BCC8-4F0B-4B8A-8757-BF46466044D9}" name="Taikymas" dataDxfId="127">
      <calculatedColumnFormula>_xlfn.XLOOKUP(ParamosIšmokėjimoBūdai[[#This Row],[Būdas]],Lentelė5[Naudojami paramos išmokėjimo būdai],Lentelė5[Pasirinkti])</calculatedColumnFormula>
    </tableColumn>
    <tableColumn id="3" xr3:uid="{31088C3C-0FC1-40F4-86DE-EE8471EEEDA9}" name="Būdas"/>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6AB7D56-F608-4C77-8279-E12FC78F5A77}" name="TaipNe" displayName="TaipNe" ref="A103:A105" totalsRowShown="0">
  <autoFilter ref="A103:A105" xr:uid="{D6AB7D56-F608-4C77-8279-E12FC78F5A77}"/>
  <tableColumns count="1">
    <tableColumn id="1" xr3:uid="{1F063533-7FC0-400E-8554-D5078809D1C6}" name="Taip ar Ne"/>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419BE10-2419-46A4-9B36-14BC8C9A8246}" name="Pataisymai" displayName="Pataisymai" ref="A6:E9" totalsRowShown="0" headerRowDxfId="126">
  <autoFilter ref="A6:E9" xr:uid="{3419BE10-2419-46A4-9B36-14BC8C9A8246}"/>
  <tableColumns count="5">
    <tableColumn id="1" xr3:uid="{95B91EB0-DDCB-4877-8CF3-7AFF55912F72}" name="Eil. Nr." dataDxfId="125">
      <calculatedColumnFormula>ROW()-ROW(Pataisymai[[#Headers],[Eil. Nr.]])</calculatedColumnFormula>
    </tableColumn>
    <tableColumn id="2" xr3:uid="{7F417F6E-BA5E-47C1-8F40-2C11292ED0D6}" name="Problema" dataDxfId="124"/>
    <tableColumn id="3" xr3:uid="{7C889F0C-0BA2-4052-AD01-904E12F6A09E}" name="Registravimo data" dataDxfId="123"/>
    <tableColumn id="4" xr3:uid="{1366926C-6F1C-461E-B773-B6DBDBB93B5B}" name="Pataisymas" dataDxfId="122"/>
    <tableColumn id="5" xr3:uid="{11785D0D-88D2-4F92-8CCD-1F537BB674F6}" name="Pataisymo data" dataDxfId="12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1C6A54A-2285-4FE0-AB18-4559392858BC}" name="Lentelė5" displayName="Lentelė5" ref="B29:C32" totalsRowShown="0" headerRowDxfId="135" dataDxfId="133" headerRowBorderDxfId="134" tableBorderDxfId="132" totalsRowBorderDxfId="131">
  <autoFilter ref="B29:C32" xr:uid="{C1C6A54A-2285-4FE0-AB18-4559392858BC}"/>
  <tableColumns count="2">
    <tableColumn id="1" xr3:uid="{AC0ACF2D-2BC4-4CCF-9EFD-09A9C8200DBC}" name="Naudojami paramos išmokėjimo būdai" dataDxfId="130"/>
    <tableColumn id="2" xr3:uid="{EDE0C5C9-0947-4FF2-A524-2F2F7BCE54F0}" name="Pasirinkti" dataDxfId="129"/>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E8441A-32FE-4AB0-96EE-B02191919165}" name="Turinys" displayName="Turinys" ref="B4:D17" totalsRowShown="0" headerRowDxfId="120" dataDxfId="119">
  <autoFilter ref="B4:D17" xr:uid="{BFE8441A-32FE-4AB0-96EE-B02191919165}"/>
  <tableColumns count="3">
    <tableColumn id="1" xr3:uid="{6CDC0A03-8ACB-4551-89E8-A74053D7A252}" name="Eil. Nr." dataDxfId="118">
      <calculatedColumnFormula>ROW()-ROW(Turinys[[#Headers],[Eil. Nr.]])</calculatedColumnFormula>
    </tableColumn>
    <tableColumn id="3" xr3:uid="{45F98729-F03F-418F-BB5C-6F94DF2A2742}" name="Skyriaus Nr." dataDxfId="117"/>
    <tableColumn id="2" xr3:uid="{83CE4090-3600-4CD3-BC8F-3E902BEFE584}" name="Skyrius" dataDxfId="116"/>
  </tableColumns>
  <tableStyleInfo name="TableStyleLight17" showFirstColumn="0" showLastColumn="0" showRowStripes="1" showColumnStripes="0"/>
</table>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613" row="13">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CBDD77F-17D8-486C-9E1C-41595C681C1E}">
  <we:reference id="wa200003696" version="1.3.0.0" store="en-US" storeType="OMEX"/>
  <we:alternateReferences>
    <we:reference id="WA200003696" version="1.3.0.0" store="" storeType="OMEX"/>
  </we:alternateReferences>
  <we:properties>
    <we:property name="projectV0_1-56c6e055-265e-4713-816e-a646dbb708de" value="{&quot;kind&quot;:&quot;AFEJSONBlobNode&quot;,&quot;id&quot;:&quot;{87A5373B-598C-436C-84E5-0F28384E1387}&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_xldudf_LABS_GENERATIVEAI</we:customFunctionIds>
      </we:customFunctionIdList>
    </a:ext>
  </we:extLst>
</we:webextension>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6.bin"/><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05D1C-0C65-4211-880B-461B154F242E}">
  <sheetPr codeName="Sheet1">
    <tabColor theme="1"/>
  </sheetPr>
  <dimension ref="A12:I70"/>
  <sheetViews>
    <sheetView topLeftCell="A53" zoomScale="130" zoomScaleNormal="130" workbookViewId="0">
      <selection activeCell="B71" sqref="B71"/>
    </sheetView>
  </sheetViews>
  <sheetFormatPr defaultRowHeight="14.4" x14ac:dyDescent="0.3"/>
  <cols>
    <col min="2" max="2" width="49.109375" customWidth="1"/>
    <col min="4" max="4" width="6.33203125" customWidth="1"/>
    <col min="5" max="5" width="46.6640625" customWidth="1"/>
    <col min="7" max="7" width="6.33203125" customWidth="1"/>
    <col min="8" max="8" width="45.5546875" customWidth="1"/>
    <col min="9" max="9" width="29.44140625" customWidth="1"/>
  </cols>
  <sheetData>
    <row r="12" spans="1:8" x14ac:dyDescent="0.3">
      <c r="A12" t="s">
        <v>93</v>
      </c>
      <c r="B12" t="s">
        <v>784</v>
      </c>
      <c r="D12" t="s">
        <v>785</v>
      </c>
      <c r="E12" t="s">
        <v>747</v>
      </c>
      <c r="H12" t="s">
        <v>92</v>
      </c>
    </row>
    <row r="13" spans="1:8" x14ac:dyDescent="0.3">
      <c r="A13" t="s">
        <v>785</v>
      </c>
      <c r="B13" t="s">
        <v>786</v>
      </c>
      <c r="D13" t="s">
        <v>0</v>
      </c>
      <c r="E13" t="s">
        <v>858</v>
      </c>
      <c r="G13" t="s">
        <v>93</v>
      </c>
      <c r="H13" t="s">
        <v>94</v>
      </c>
    </row>
    <row r="14" spans="1:8" x14ac:dyDescent="0.3">
      <c r="A14" t="s">
        <v>787</v>
      </c>
      <c r="B14" t="s">
        <v>788</v>
      </c>
      <c r="D14" t="s">
        <v>7</v>
      </c>
      <c r="E14" t="s">
        <v>748</v>
      </c>
      <c r="G14" t="s">
        <v>785</v>
      </c>
      <c r="H14" t="s">
        <v>95</v>
      </c>
    </row>
    <row r="15" spans="1:8" x14ac:dyDescent="0.3">
      <c r="A15" t="s">
        <v>789</v>
      </c>
      <c r="B15" t="s">
        <v>790</v>
      </c>
      <c r="D15" t="s">
        <v>244</v>
      </c>
      <c r="E15" t="s">
        <v>859</v>
      </c>
      <c r="G15" t="s">
        <v>0</v>
      </c>
      <c r="H15" t="s">
        <v>875</v>
      </c>
    </row>
    <row r="16" spans="1:8" x14ac:dyDescent="0.3">
      <c r="A16" t="s">
        <v>791</v>
      </c>
      <c r="B16" t="s">
        <v>792</v>
      </c>
      <c r="D16" t="s">
        <v>245</v>
      </c>
      <c r="E16" t="s">
        <v>749</v>
      </c>
      <c r="G16" t="s">
        <v>7</v>
      </c>
      <c r="H16" t="s">
        <v>876</v>
      </c>
    </row>
    <row r="17" spans="1:8" x14ac:dyDescent="0.3">
      <c r="A17" t="s">
        <v>793</v>
      </c>
      <c r="B17" t="s">
        <v>794</v>
      </c>
      <c r="D17" t="s">
        <v>8</v>
      </c>
      <c r="E17" t="s">
        <v>750</v>
      </c>
      <c r="G17" t="s">
        <v>8</v>
      </c>
      <c r="H17" t="s">
        <v>877</v>
      </c>
    </row>
    <row r="18" spans="1:8" x14ac:dyDescent="0.3">
      <c r="A18" t="s">
        <v>795</v>
      </c>
      <c r="B18" t="s">
        <v>796</v>
      </c>
      <c r="D18" t="s">
        <v>805</v>
      </c>
      <c r="E18" t="s">
        <v>751</v>
      </c>
      <c r="G18" t="s">
        <v>805</v>
      </c>
      <c r="H18" t="s">
        <v>97</v>
      </c>
    </row>
    <row r="19" spans="1:8" x14ac:dyDescent="0.3">
      <c r="A19" t="s">
        <v>797</v>
      </c>
      <c r="B19" t="s">
        <v>798</v>
      </c>
      <c r="D19" t="s">
        <v>0</v>
      </c>
      <c r="E19" t="s">
        <v>752</v>
      </c>
      <c r="G19" t="s">
        <v>0</v>
      </c>
      <c r="H19" t="s">
        <v>98</v>
      </c>
    </row>
    <row r="20" spans="1:8" x14ac:dyDescent="0.3">
      <c r="A20" t="s">
        <v>799</v>
      </c>
      <c r="B20" t="s">
        <v>800</v>
      </c>
      <c r="D20" t="s">
        <v>7</v>
      </c>
      <c r="E20" t="s">
        <v>753</v>
      </c>
      <c r="G20" t="s">
        <v>7</v>
      </c>
      <c r="H20" t="s">
        <v>39</v>
      </c>
    </row>
    <row r="21" spans="1:8" x14ac:dyDescent="0.3">
      <c r="A21" t="s">
        <v>801</v>
      </c>
      <c r="B21" t="s">
        <v>802</v>
      </c>
      <c r="D21" t="s">
        <v>8</v>
      </c>
      <c r="E21" t="s">
        <v>754</v>
      </c>
      <c r="G21" t="s">
        <v>8</v>
      </c>
      <c r="H21" t="s">
        <v>56</v>
      </c>
    </row>
    <row r="22" spans="1:8" x14ac:dyDescent="0.3">
      <c r="A22" t="s">
        <v>803</v>
      </c>
      <c r="B22" t="s">
        <v>804</v>
      </c>
      <c r="D22" t="s">
        <v>246</v>
      </c>
      <c r="E22" t="s">
        <v>755</v>
      </c>
      <c r="G22" t="s">
        <v>101</v>
      </c>
      <c r="H22" t="s">
        <v>40</v>
      </c>
    </row>
    <row r="23" spans="1:8" x14ac:dyDescent="0.3">
      <c r="A23" t="s">
        <v>805</v>
      </c>
      <c r="B23" t="s">
        <v>806</v>
      </c>
      <c r="D23" t="s">
        <v>339</v>
      </c>
      <c r="E23" t="s">
        <v>756</v>
      </c>
      <c r="G23" t="s">
        <v>9</v>
      </c>
      <c r="H23" t="s">
        <v>878</v>
      </c>
    </row>
    <row r="24" spans="1:8" x14ac:dyDescent="0.3">
      <c r="A24" t="s">
        <v>807</v>
      </c>
      <c r="B24" t="s">
        <v>808</v>
      </c>
      <c r="D24" t="s">
        <v>860</v>
      </c>
      <c r="E24" t="s">
        <v>757</v>
      </c>
      <c r="G24" t="s">
        <v>21</v>
      </c>
      <c r="H24" t="s">
        <v>761</v>
      </c>
    </row>
    <row r="25" spans="1:8" x14ac:dyDescent="0.3">
      <c r="A25" t="s">
        <v>809</v>
      </c>
      <c r="B25" t="s">
        <v>810</v>
      </c>
      <c r="D25" t="s">
        <v>861</v>
      </c>
      <c r="E25" t="s">
        <v>862</v>
      </c>
      <c r="G25" t="s">
        <v>34</v>
      </c>
      <c r="H25" t="s">
        <v>879</v>
      </c>
    </row>
    <row r="26" spans="1:8" x14ac:dyDescent="0.3">
      <c r="A26" t="s">
        <v>811</v>
      </c>
      <c r="B26" t="s">
        <v>812</v>
      </c>
      <c r="D26" t="s">
        <v>863</v>
      </c>
      <c r="E26" t="s">
        <v>864</v>
      </c>
      <c r="G26" t="s">
        <v>807</v>
      </c>
      <c r="H26" t="s">
        <v>100</v>
      </c>
    </row>
    <row r="27" spans="1:8" x14ac:dyDescent="0.3">
      <c r="A27" t="s">
        <v>813</v>
      </c>
      <c r="B27" t="s">
        <v>814</v>
      </c>
      <c r="D27" t="s">
        <v>865</v>
      </c>
      <c r="E27" t="s">
        <v>866</v>
      </c>
      <c r="G27" t="s">
        <v>0</v>
      </c>
      <c r="H27" s="268" t="s">
        <v>880</v>
      </c>
    </row>
    <row r="28" spans="1:8" x14ac:dyDescent="0.3">
      <c r="A28" t="s">
        <v>815</v>
      </c>
      <c r="B28" t="s">
        <v>816</v>
      </c>
      <c r="D28" t="s">
        <v>867</v>
      </c>
      <c r="E28" t="s">
        <v>868</v>
      </c>
      <c r="G28" t="s">
        <v>7</v>
      </c>
      <c r="H28" s="268" t="s">
        <v>881</v>
      </c>
    </row>
    <row r="29" spans="1:8" x14ac:dyDescent="0.3">
      <c r="A29" t="s">
        <v>817</v>
      </c>
      <c r="B29" t="s">
        <v>818</v>
      </c>
      <c r="D29" t="s">
        <v>869</v>
      </c>
      <c r="E29" t="s">
        <v>870</v>
      </c>
      <c r="G29" t="s">
        <v>104</v>
      </c>
      <c r="H29" t="s">
        <v>105</v>
      </c>
    </row>
    <row r="30" spans="1:8" x14ac:dyDescent="0.3">
      <c r="A30" t="s">
        <v>819</v>
      </c>
      <c r="B30" t="s">
        <v>820</v>
      </c>
      <c r="D30" t="s">
        <v>871</v>
      </c>
      <c r="E30" t="s">
        <v>872</v>
      </c>
      <c r="G30" t="s">
        <v>785</v>
      </c>
      <c r="H30" t="s">
        <v>882</v>
      </c>
    </row>
    <row r="31" spans="1:8" x14ac:dyDescent="0.3">
      <c r="A31" t="s">
        <v>821</v>
      </c>
      <c r="B31" t="s">
        <v>822</v>
      </c>
      <c r="D31" t="s">
        <v>873</v>
      </c>
      <c r="E31" t="s">
        <v>874</v>
      </c>
      <c r="G31" t="s">
        <v>0</v>
      </c>
      <c r="H31" t="s">
        <v>762</v>
      </c>
    </row>
    <row r="32" spans="1:8" x14ac:dyDescent="0.3">
      <c r="A32" t="s">
        <v>823</v>
      </c>
      <c r="B32" t="s">
        <v>824</v>
      </c>
      <c r="D32" t="s">
        <v>807</v>
      </c>
      <c r="E32" t="s">
        <v>758</v>
      </c>
      <c r="G32" t="s">
        <v>7</v>
      </c>
      <c r="H32" t="s">
        <v>763</v>
      </c>
    </row>
    <row r="33" spans="1:9" x14ac:dyDescent="0.3">
      <c r="A33" t="s">
        <v>825</v>
      </c>
      <c r="B33" t="s">
        <v>826</v>
      </c>
      <c r="D33" t="s">
        <v>833</v>
      </c>
      <c r="E33" t="s">
        <v>759</v>
      </c>
      <c r="G33" t="s">
        <v>8</v>
      </c>
      <c r="H33" t="s">
        <v>764</v>
      </c>
    </row>
    <row r="34" spans="1:9" x14ac:dyDescent="0.3">
      <c r="A34" t="s">
        <v>827</v>
      </c>
      <c r="B34" t="s">
        <v>828</v>
      </c>
      <c r="D34" t="s">
        <v>835</v>
      </c>
      <c r="E34" t="s">
        <v>760</v>
      </c>
      <c r="G34" t="s">
        <v>805</v>
      </c>
      <c r="H34" t="s">
        <v>883</v>
      </c>
    </row>
    <row r="35" spans="1:9" x14ac:dyDescent="0.3">
      <c r="A35" t="s">
        <v>104</v>
      </c>
      <c r="B35" t="s">
        <v>829</v>
      </c>
      <c r="G35" t="s">
        <v>0</v>
      </c>
      <c r="H35" t="s">
        <v>884</v>
      </c>
    </row>
    <row r="36" spans="1:9" x14ac:dyDescent="0.3">
      <c r="A36" t="s">
        <v>785</v>
      </c>
      <c r="B36" t="s">
        <v>830</v>
      </c>
      <c r="G36" t="s">
        <v>7</v>
      </c>
      <c r="H36" t="s">
        <v>113</v>
      </c>
    </row>
    <row r="37" spans="1:9" x14ac:dyDescent="0.3">
      <c r="A37" t="s">
        <v>805</v>
      </c>
      <c r="B37" t="s">
        <v>831</v>
      </c>
      <c r="G37" t="s">
        <v>807</v>
      </c>
      <c r="H37" t="s">
        <v>885</v>
      </c>
    </row>
    <row r="38" spans="1:9" x14ac:dyDescent="0.3">
      <c r="A38" t="s">
        <v>807</v>
      </c>
      <c r="B38" t="s">
        <v>832</v>
      </c>
      <c r="G38" t="s">
        <v>0</v>
      </c>
      <c r="H38" t="s">
        <v>886</v>
      </c>
    </row>
    <row r="39" spans="1:9" x14ac:dyDescent="0.3">
      <c r="A39" t="s">
        <v>833</v>
      </c>
      <c r="B39" t="s">
        <v>834</v>
      </c>
      <c r="G39" t="s">
        <v>7</v>
      </c>
      <c r="H39" t="s">
        <v>887</v>
      </c>
    </row>
    <row r="40" spans="1:9" x14ac:dyDescent="0.3">
      <c r="A40" t="s">
        <v>835</v>
      </c>
      <c r="B40" t="s">
        <v>836</v>
      </c>
      <c r="G40" t="s">
        <v>8</v>
      </c>
      <c r="H40" t="s">
        <v>888</v>
      </c>
    </row>
    <row r="41" spans="1:9" x14ac:dyDescent="0.3">
      <c r="A41" t="s">
        <v>837</v>
      </c>
      <c r="B41" t="s">
        <v>838</v>
      </c>
      <c r="G41" t="s">
        <v>833</v>
      </c>
      <c r="H41" t="s">
        <v>115</v>
      </c>
    </row>
    <row r="42" spans="1:9" x14ac:dyDescent="0.3">
      <c r="A42" t="s">
        <v>839</v>
      </c>
      <c r="B42" t="s">
        <v>840</v>
      </c>
      <c r="H42" t="s">
        <v>889</v>
      </c>
    </row>
    <row r="43" spans="1:9" x14ac:dyDescent="0.3">
      <c r="A43" t="s">
        <v>116</v>
      </c>
      <c r="B43" t="s">
        <v>841</v>
      </c>
    </row>
    <row r="44" spans="1:9" x14ac:dyDescent="0.3">
      <c r="A44" t="s">
        <v>785</v>
      </c>
      <c r="B44" t="s">
        <v>842</v>
      </c>
      <c r="H44" t="s">
        <v>119</v>
      </c>
    </row>
    <row r="45" spans="1:9" x14ac:dyDescent="0.3">
      <c r="A45" t="s">
        <v>805</v>
      </c>
      <c r="B45" t="s">
        <v>843</v>
      </c>
      <c r="G45" t="s">
        <v>116</v>
      </c>
      <c r="H45" t="s">
        <v>121</v>
      </c>
    </row>
    <row r="46" spans="1:9" x14ac:dyDescent="0.3">
      <c r="A46" t="s">
        <v>807</v>
      </c>
      <c r="B46" t="s">
        <v>844</v>
      </c>
      <c r="G46" t="s">
        <v>785</v>
      </c>
      <c r="H46" t="s">
        <v>122</v>
      </c>
      <c r="I46" t="s">
        <v>854</v>
      </c>
    </row>
    <row r="47" spans="1:9" x14ac:dyDescent="0.3">
      <c r="A47" t="s">
        <v>833</v>
      </c>
      <c r="B47" t="s">
        <v>845</v>
      </c>
      <c r="G47" t="s">
        <v>805</v>
      </c>
      <c r="H47" t="s">
        <v>127</v>
      </c>
      <c r="I47" t="s">
        <v>128</v>
      </c>
    </row>
    <row r="48" spans="1:9" x14ac:dyDescent="0.3">
      <c r="A48" t="s">
        <v>835</v>
      </c>
      <c r="B48" t="s">
        <v>846</v>
      </c>
      <c r="G48" t="s">
        <v>807</v>
      </c>
      <c r="H48" t="s">
        <v>857</v>
      </c>
      <c r="I48" t="s">
        <v>855</v>
      </c>
    </row>
    <row r="49" spans="1:9" x14ac:dyDescent="0.3">
      <c r="A49" t="s">
        <v>837</v>
      </c>
      <c r="B49" t="s">
        <v>847</v>
      </c>
      <c r="G49" t="s">
        <v>833</v>
      </c>
      <c r="H49" t="s">
        <v>890</v>
      </c>
      <c r="I49" t="s">
        <v>856</v>
      </c>
    </row>
    <row r="50" spans="1:9" x14ac:dyDescent="0.3">
      <c r="A50" t="s">
        <v>839</v>
      </c>
      <c r="B50" t="s">
        <v>848</v>
      </c>
      <c r="G50" t="s">
        <v>0</v>
      </c>
      <c r="H50" t="s">
        <v>765</v>
      </c>
    </row>
    <row r="51" spans="1:9" x14ac:dyDescent="0.3">
      <c r="A51" t="s">
        <v>120</v>
      </c>
      <c r="B51" t="s">
        <v>849</v>
      </c>
      <c r="G51" t="s">
        <v>7</v>
      </c>
      <c r="H51" t="s">
        <v>766</v>
      </c>
    </row>
    <row r="52" spans="1:9" x14ac:dyDescent="0.3">
      <c r="A52" t="s">
        <v>785</v>
      </c>
      <c r="B52" t="s">
        <v>850</v>
      </c>
      <c r="G52" t="s">
        <v>120</v>
      </c>
      <c r="H52" t="s">
        <v>767</v>
      </c>
    </row>
    <row r="53" spans="1:9" x14ac:dyDescent="0.3">
      <c r="A53" t="s">
        <v>805</v>
      </c>
      <c r="B53" t="s">
        <v>851</v>
      </c>
      <c r="G53" t="s">
        <v>0</v>
      </c>
      <c r="H53" t="s">
        <v>891</v>
      </c>
    </row>
    <row r="54" spans="1:9" x14ac:dyDescent="0.3">
      <c r="A54" t="s">
        <v>807</v>
      </c>
      <c r="B54" t="s">
        <v>852</v>
      </c>
      <c r="G54" t="s">
        <v>7</v>
      </c>
      <c r="H54" t="s">
        <v>768</v>
      </c>
    </row>
    <row r="55" spans="1:9" x14ac:dyDescent="0.3">
      <c r="G55" t="s">
        <v>244</v>
      </c>
      <c r="H55" t="s">
        <v>769</v>
      </c>
    </row>
    <row r="56" spans="1:9" x14ac:dyDescent="0.3">
      <c r="G56" t="s">
        <v>245</v>
      </c>
      <c r="H56" t="s">
        <v>770</v>
      </c>
    </row>
    <row r="57" spans="1:9" x14ac:dyDescent="0.3">
      <c r="G57" t="s">
        <v>8</v>
      </c>
      <c r="H57" t="s">
        <v>771</v>
      </c>
    </row>
    <row r="58" spans="1:9" x14ac:dyDescent="0.3">
      <c r="G58" t="s">
        <v>101</v>
      </c>
      <c r="H58" t="s">
        <v>772</v>
      </c>
    </row>
    <row r="59" spans="1:9" x14ac:dyDescent="0.3">
      <c r="G59" t="s">
        <v>132</v>
      </c>
      <c r="H59" t="s">
        <v>137</v>
      </c>
    </row>
    <row r="60" spans="1:9" x14ac:dyDescent="0.3">
      <c r="G60" t="s">
        <v>785</v>
      </c>
      <c r="H60" t="s">
        <v>773</v>
      </c>
    </row>
    <row r="61" spans="1:9" x14ac:dyDescent="0.3">
      <c r="G61" t="s">
        <v>0</v>
      </c>
      <c r="H61" t="s">
        <v>774</v>
      </c>
    </row>
    <row r="62" spans="1:9" x14ac:dyDescent="0.3">
      <c r="G62" t="s">
        <v>7</v>
      </c>
      <c r="H62" t="s">
        <v>775</v>
      </c>
    </row>
    <row r="63" spans="1:9" x14ac:dyDescent="0.3">
      <c r="G63" t="s">
        <v>805</v>
      </c>
      <c r="H63" t="s">
        <v>776</v>
      </c>
    </row>
    <row r="64" spans="1:9" x14ac:dyDescent="0.3">
      <c r="G64" t="s">
        <v>0</v>
      </c>
      <c r="H64" t="s">
        <v>779</v>
      </c>
    </row>
    <row r="65" spans="7:8" x14ac:dyDescent="0.3">
      <c r="G65" t="s">
        <v>7</v>
      </c>
      <c r="H65" t="s">
        <v>774</v>
      </c>
    </row>
    <row r="66" spans="7:8" x14ac:dyDescent="0.3">
      <c r="G66" t="s">
        <v>8</v>
      </c>
      <c r="H66" t="s">
        <v>141</v>
      </c>
    </row>
    <row r="67" spans="7:8" x14ac:dyDescent="0.3">
      <c r="G67" t="s">
        <v>101</v>
      </c>
      <c r="H67" t="s">
        <v>777</v>
      </c>
    </row>
    <row r="68" spans="7:8" x14ac:dyDescent="0.3">
      <c r="G68" t="s">
        <v>9</v>
      </c>
      <c r="H68" t="s">
        <v>144</v>
      </c>
    </row>
    <row r="69" spans="7:8" x14ac:dyDescent="0.3">
      <c r="G69" t="s">
        <v>21</v>
      </c>
      <c r="H69" t="s">
        <v>778</v>
      </c>
    </row>
    <row r="70" spans="7:8" x14ac:dyDescent="0.3">
      <c r="H70" t="s">
        <v>892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apas8">
    <tabColor theme="9" tint="-0.249977111117893"/>
  </sheetPr>
  <dimension ref="A1:P90"/>
  <sheetViews>
    <sheetView topLeftCell="A61" zoomScale="88" zoomScaleNormal="130" workbookViewId="0">
      <selection activeCell="E6" sqref="E6"/>
    </sheetView>
  </sheetViews>
  <sheetFormatPr defaultColWidth="8.6640625" defaultRowHeight="13.8" x14ac:dyDescent="0.3"/>
  <cols>
    <col min="1" max="1" width="8.6640625" style="11"/>
    <col min="2" max="2" width="25.6640625" style="11" customWidth="1"/>
    <col min="3" max="6" width="23.5546875" style="11" customWidth="1"/>
    <col min="7" max="7" width="5.88671875" style="10" customWidth="1"/>
    <col min="8" max="8" width="43.5546875" style="20" customWidth="1"/>
    <col min="9" max="10" width="8.6640625" style="11" hidden="1" customWidth="1"/>
    <col min="11" max="11" width="8.6640625" style="11" customWidth="1"/>
    <col min="12" max="16384" width="8.6640625" style="11"/>
  </cols>
  <sheetData>
    <row r="1" spans="1:16" s="7" customFormat="1" ht="15.6" x14ac:dyDescent="0.3">
      <c r="A1" s="139" t="s">
        <v>9</v>
      </c>
      <c r="B1" s="491" t="s">
        <v>416</v>
      </c>
      <c r="C1" s="491"/>
      <c r="D1" s="491"/>
      <c r="E1" s="140"/>
      <c r="F1" s="140"/>
      <c r="G1" s="31"/>
      <c r="H1" s="284" t="s">
        <v>293</v>
      </c>
      <c r="I1" s="84" t="s">
        <v>350</v>
      </c>
      <c r="J1" s="84" t="s">
        <v>349</v>
      </c>
      <c r="K1" s="84"/>
      <c r="L1" s="2"/>
      <c r="M1" s="2"/>
      <c r="N1" s="2"/>
      <c r="O1" s="2"/>
      <c r="P1" s="2"/>
    </row>
    <row r="2" spans="1:16" x14ac:dyDescent="0.3">
      <c r="H2" s="269"/>
      <c r="I2" s="82"/>
      <c r="J2" s="84"/>
      <c r="K2" s="84"/>
    </row>
    <row r="3" spans="1:16" s="7" customFormat="1" x14ac:dyDescent="0.3">
      <c r="A3" s="141" t="s">
        <v>13</v>
      </c>
      <c r="B3" s="142" t="s">
        <v>412</v>
      </c>
      <c r="C3" s="143"/>
      <c r="D3" s="32"/>
      <c r="E3" s="32"/>
      <c r="F3" s="32"/>
      <c r="G3" s="32"/>
      <c r="H3" s="285"/>
      <c r="I3" s="81"/>
    </row>
    <row r="4" spans="1:16" ht="14.4" thickBot="1" x14ac:dyDescent="0.35">
      <c r="A4" s="233"/>
      <c r="B4" s="234" t="s">
        <v>338</v>
      </c>
      <c r="C4" s="234" t="s">
        <v>60</v>
      </c>
      <c r="D4" s="10"/>
      <c r="E4" s="10"/>
      <c r="F4" s="10"/>
      <c r="H4" s="273"/>
      <c r="I4" s="82"/>
    </row>
    <row r="5" spans="1:16" ht="14.4" thickTop="1" x14ac:dyDescent="0.3">
      <c r="A5" s="33" t="s">
        <v>659</v>
      </c>
      <c r="B5" s="232" t="s">
        <v>61</v>
      </c>
      <c r="C5" s="347">
        <f>SUMIFS(E:E,B:B,B5)</f>
        <v>0</v>
      </c>
      <c r="H5" s="273"/>
      <c r="I5" s="82"/>
    </row>
    <row r="6" spans="1:16" x14ac:dyDescent="0.3">
      <c r="A6" s="34" t="s">
        <v>660</v>
      </c>
      <c r="B6" s="77" t="s">
        <v>62</v>
      </c>
      <c r="C6" s="348">
        <f>SUMIFS(E:E,B:B,B6)</f>
        <v>0</v>
      </c>
      <c r="D6" s="10"/>
      <c r="E6" s="10"/>
      <c r="F6" s="10"/>
      <c r="I6" s="82"/>
    </row>
    <row r="7" spans="1:16" x14ac:dyDescent="0.3">
      <c r="A7" s="34" t="s">
        <v>661</v>
      </c>
      <c r="B7" s="77" t="s">
        <v>63</v>
      </c>
      <c r="C7" s="348">
        <f>SUMIFS(E:E,B:B,B7)</f>
        <v>0</v>
      </c>
      <c r="D7" s="10"/>
      <c r="E7" s="10"/>
      <c r="F7" s="10"/>
      <c r="I7" s="82"/>
      <c r="K7" s="10"/>
    </row>
    <row r="8" spans="1:16" x14ac:dyDescent="0.3">
      <c r="A8" s="34" t="s">
        <v>662</v>
      </c>
      <c r="B8" s="77" t="s">
        <v>64</v>
      </c>
      <c r="C8" s="348">
        <f>SUMIFS(E:E,B:B,B8)</f>
        <v>0</v>
      </c>
      <c r="D8" s="10"/>
      <c r="E8" s="10"/>
      <c r="F8" s="10"/>
      <c r="I8" s="82"/>
      <c r="K8" s="10"/>
    </row>
    <row r="9" spans="1:16" x14ac:dyDescent="0.3">
      <c r="A9" s="34" t="s">
        <v>663</v>
      </c>
      <c r="B9" s="253" t="s">
        <v>37</v>
      </c>
      <c r="C9" s="349">
        <f>SUM(C5:C8)</f>
        <v>0</v>
      </c>
      <c r="D9" s="10"/>
      <c r="E9" s="10"/>
      <c r="F9" s="10"/>
      <c r="I9" s="82"/>
      <c r="K9" s="10"/>
    </row>
    <row r="10" spans="1:16" x14ac:dyDescent="0.3">
      <c r="A10" s="34" t="s">
        <v>664</v>
      </c>
      <c r="B10" s="77" t="s">
        <v>65</v>
      </c>
      <c r="C10" s="350">
        <f>E19</f>
        <v>0</v>
      </c>
      <c r="D10" s="10"/>
      <c r="E10" s="10"/>
      <c r="F10" s="10"/>
      <c r="I10" s="82"/>
      <c r="K10" s="10"/>
    </row>
    <row r="11" spans="1:16" x14ac:dyDescent="0.3">
      <c r="A11" s="34" t="s">
        <v>665</v>
      </c>
      <c r="B11" s="77" t="s">
        <v>347</v>
      </c>
      <c r="C11" s="308"/>
      <c r="D11" s="123">
        <f>F19</f>
        <v>0</v>
      </c>
      <c r="E11" s="77" t="s">
        <v>399</v>
      </c>
      <c r="F11" s="10"/>
      <c r="H11" s="269" t="s">
        <v>958</v>
      </c>
      <c r="I11" s="82"/>
    </row>
    <row r="12" spans="1:16" x14ac:dyDescent="0.3">
      <c r="A12" s="34" t="s">
        <v>666</v>
      </c>
      <c r="B12" s="77" t="s">
        <v>337</v>
      </c>
      <c r="C12" s="294"/>
      <c r="D12" s="78"/>
      <c r="F12" s="10"/>
      <c r="H12" s="124" t="str">
        <f>IF(OR(C12=Konstantos!$A$84,'5'!C12=""),"Pasirinkite paramos išmokėjimo būdą","ok")</f>
        <v>Pasirinkite paramos išmokėjimo būdą</v>
      </c>
      <c r="I12" s="82"/>
    </row>
    <row r="13" spans="1:16" x14ac:dyDescent="0.3">
      <c r="A13" s="34" t="s">
        <v>667</v>
      </c>
      <c r="B13" s="77" t="str">
        <f>IFERROR(IF(SEARCH("*avans*",C12)=1, "Prašomo išmokėti avanso dalis, proc.",""),"")</f>
        <v/>
      </c>
      <c r="C13" s="309"/>
      <c r="F13" s="10"/>
      <c r="H13" s="270" t="str">
        <f>IF(AND(B13="",C13&lt;&gt;0),"Ištrinkite duomenis",IF(AND(B13&lt;&gt;"",C13=0),   _xlfn.CONCAT("Jei pasirinktas paramos išmokėjimo būdas 'Kompensavimas su avansu', būtina įvesti avanso dydį procentais. Avanso dydis negali būti didesnis kaip ",Parametrai!C27*100," proc. nuo paramos dydžio."),"ok"))</f>
        <v>ok</v>
      </c>
      <c r="I13" s="82"/>
    </row>
    <row r="14" spans="1:16" x14ac:dyDescent="0.3">
      <c r="A14" s="34" t="s">
        <v>668</v>
      </c>
      <c r="B14" s="77" t="str">
        <f>IFERROR(IF(SEARCH("*avans*",C12)=1, "Paramos išmokėjimas avansu, Eur",""),"")</f>
        <v/>
      </c>
      <c r="C14" s="351">
        <f>IF(B14&lt;&gt;"",C13*C11,0)</f>
        <v>0</v>
      </c>
      <c r="D14" s="78"/>
      <c r="F14" s="10"/>
      <c r="H14" s="269"/>
      <c r="I14" s="83"/>
    </row>
    <row r="15" spans="1:16" x14ac:dyDescent="0.3">
      <c r="A15" s="34" t="s">
        <v>669</v>
      </c>
      <c r="B15" s="77" t="str">
        <f>IFERROR(IF(SEARCH("*avans*",C12)=1, "Planuojama avanso išmokėjimo data",""),"")</f>
        <v/>
      </c>
      <c r="C15" s="310"/>
      <c r="D15" s="78"/>
      <c r="F15" s="10"/>
      <c r="H15" s="270" t="str">
        <f>IF(AND(B15="",C15&lt;&gt;0),"Ištrinkite datą",IF(AND(B15&lt;&gt;"",C15=0),"Įveskite datą","ok"))</f>
        <v>ok</v>
      </c>
      <c r="I15" s="82"/>
    </row>
    <row r="16" spans="1:16" x14ac:dyDescent="0.3">
      <c r="H16" s="269"/>
      <c r="I16" s="82"/>
    </row>
    <row r="17" spans="1:11" x14ac:dyDescent="0.3">
      <c r="A17" s="242" t="s">
        <v>16</v>
      </c>
      <c r="B17" s="492" t="s">
        <v>66</v>
      </c>
      <c r="C17" s="492"/>
      <c r="D17" s="492"/>
      <c r="E17" s="492"/>
      <c r="F17" s="492"/>
      <c r="H17" s="269"/>
      <c r="I17" s="82"/>
    </row>
    <row r="18" spans="1:11" ht="28.2" thickBot="1" x14ac:dyDescent="0.35">
      <c r="A18" s="247"/>
      <c r="B18" s="144" t="s">
        <v>67</v>
      </c>
      <c r="C18" s="144" t="s">
        <v>415</v>
      </c>
      <c r="D18" s="144" t="s">
        <v>68</v>
      </c>
      <c r="E18" s="144" t="s">
        <v>69</v>
      </c>
      <c r="F18" s="144" t="s">
        <v>41</v>
      </c>
      <c r="H18" s="269"/>
      <c r="I18" s="82"/>
    </row>
    <row r="19" spans="1:11" ht="15" thickTop="1" thickBot="1" x14ac:dyDescent="0.35">
      <c r="A19" s="248"/>
      <c r="B19" s="254" t="s">
        <v>70</v>
      </c>
      <c r="C19" s="243"/>
      <c r="D19" s="244">
        <f>SUMIFS(D:D,$B:$B,"Iš viso investicijų*")</f>
        <v>0</v>
      </c>
      <c r="E19" s="244">
        <f>SUMIFS(E:E,$B:$B,"Iš viso investicijų*")</f>
        <v>0</v>
      </c>
      <c r="F19" s="244">
        <f>SUMIFS(F:F,$B:$B,"Paramos išmokėjimas*")+$C$14</f>
        <v>0</v>
      </c>
      <c r="H19" s="277" t="s">
        <v>957</v>
      </c>
      <c r="I19" s="82"/>
    </row>
    <row r="20" spans="1:11" ht="14.4" thickTop="1" x14ac:dyDescent="0.3">
      <c r="A20" s="249" t="s">
        <v>428</v>
      </c>
      <c r="B20" s="240" t="s">
        <v>42</v>
      </c>
      <c r="C20" s="311"/>
      <c r="D20" s="241"/>
      <c r="E20" s="241"/>
      <c r="F20" s="241"/>
      <c r="H20" s="269" t="str">
        <f>IF(AND(C20="",D26&lt;&gt;0),"Klaida! Įveskite etapo paramos išmokėjimo prašymo pateikimo datą","ok")</f>
        <v>ok</v>
      </c>
      <c r="I20" s="82"/>
    </row>
    <row r="21" spans="1:11" x14ac:dyDescent="0.3">
      <c r="A21" s="250" t="s">
        <v>429</v>
      </c>
      <c r="B21" s="489"/>
      <c r="C21" s="490"/>
      <c r="D21" s="312"/>
      <c r="E21" s="312"/>
      <c r="F21" s="312"/>
      <c r="H21" s="269"/>
      <c r="I21" s="82"/>
    </row>
    <row r="22" spans="1:11" x14ac:dyDescent="0.3">
      <c r="A22" s="250" t="s">
        <v>430</v>
      </c>
      <c r="B22" s="489"/>
      <c r="C22" s="490"/>
      <c r="D22" s="312"/>
      <c r="E22" s="312"/>
      <c r="F22" s="312"/>
      <c r="H22" s="269"/>
      <c r="I22" s="82"/>
    </row>
    <row r="23" spans="1:11" x14ac:dyDescent="0.3">
      <c r="A23" s="250" t="s">
        <v>431</v>
      </c>
      <c r="B23" s="489"/>
      <c r="C23" s="490"/>
      <c r="D23" s="312"/>
      <c r="E23" s="312"/>
      <c r="F23" s="312"/>
      <c r="H23" s="269"/>
      <c r="I23" s="82"/>
    </row>
    <row r="24" spans="1:11" x14ac:dyDescent="0.3">
      <c r="A24" s="250" t="s">
        <v>432</v>
      </c>
      <c r="B24" s="489"/>
      <c r="C24" s="490"/>
      <c r="D24" s="312"/>
      <c r="E24" s="312"/>
      <c r="F24" s="312"/>
      <c r="H24" s="269"/>
      <c r="I24" s="82"/>
    </row>
    <row r="25" spans="1:11" x14ac:dyDescent="0.3">
      <c r="A25" s="250" t="s">
        <v>433</v>
      </c>
      <c r="B25" s="489"/>
      <c r="C25" s="490"/>
      <c r="D25" s="312"/>
      <c r="E25" s="312"/>
      <c r="F25" s="312"/>
      <c r="H25" s="269"/>
      <c r="I25" s="82"/>
    </row>
    <row r="26" spans="1:11" x14ac:dyDescent="0.3">
      <c r="A26" s="251"/>
      <c r="B26" s="145" t="s">
        <v>555</v>
      </c>
      <c r="C26" s="352" t="str">
        <f>IF(C20="","-",C20)</f>
        <v>-</v>
      </c>
      <c r="D26" s="353">
        <f>SUM(D21:D25)</f>
        <v>0</v>
      </c>
      <c r="E26" s="353">
        <f>SUM(E21:E25)</f>
        <v>0</v>
      </c>
      <c r="F26" s="252"/>
      <c r="H26" s="269"/>
      <c r="I26" s="82"/>
    </row>
    <row r="27" spans="1:11" ht="24" x14ac:dyDescent="0.3">
      <c r="A27" s="251"/>
      <c r="B27" s="146" t="s">
        <v>953</v>
      </c>
      <c r="C27" s="352" t="str">
        <f>IF(C20="","-",EOMONTH(C20,Parametrai!$C$17))</f>
        <v>-</v>
      </c>
      <c r="D27" s="147"/>
      <c r="E27" s="147"/>
      <c r="F27" s="353">
        <f>IF($C$14+SUMIFS($F$17:$F19,$B$17:$B19,"Paramos išmokėjimas*")+SUM(F21:F25)&lt;$C$11,SUM(F21:F25),IF($C$14+SUMIFS($F$17:$F19,$B$17:$B19,"Paramos išmokėjimas*")&lt;=$C$11,$C$11-$C$14-SUMIFS($F$17:$F19,$B$17:$B19,"Paramos išmokėjimas*"),0))</f>
        <v>0</v>
      </c>
      <c r="H27" s="269"/>
      <c r="I27" s="83" t="b">
        <f>OR(SUM(F21:F25)&gt;0)</f>
        <v>0</v>
      </c>
    </row>
    <row r="28" spans="1:11" x14ac:dyDescent="0.3">
      <c r="A28" s="251"/>
      <c r="B28" s="148" t="s">
        <v>413</v>
      </c>
      <c r="C28" s="149"/>
      <c r="D28" s="147"/>
      <c r="E28" s="147"/>
      <c r="F28" s="147"/>
      <c r="H28" s="269"/>
      <c r="I28" s="82"/>
    </row>
    <row r="29" spans="1:11" x14ac:dyDescent="0.3">
      <c r="A29" s="250" t="s">
        <v>434</v>
      </c>
      <c r="B29" s="150" t="s">
        <v>61</v>
      </c>
      <c r="C29" s="147"/>
      <c r="D29" s="147"/>
      <c r="E29" s="312"/>
      <c r="F29" s="147"/>
      <c r="H29" s="269"/>
      <c r="I29" s="82"/>
    </row>
    <row r="30" spans="1:11" x14ac:dyDescent="0.3">
      <c r="A30" s="250" t="s">
        <v>435</v>
      </c>
      <c r="B30" s="150" t="s">
        <v>62</v>
      </c>
      <c r="C30" s="147"/>
      <c r="D30" s="147"/>
      <c r="E30" s="312"/>
      <c r="F30" s="147"/>
      <c r="H30" s="286"/>
      <c r="I30" s="82"/>
    </row>
    <row r="31" spans="1:11" x14ac:dyDescent="0.3">
      <c r="A31" s="250" t="s">
        <v>436</v>
      </c>
      <c r="B31" s="150" t="s">
        <v>63</v>
      </c>
      <c r="C31" s="147"/>
      <c r="D31" s="147"/>
      <c r="E31" s="312"/>
      <c r="F31" s="147"/>
      <c r="H31" s="269"/>
      <c r="I31" s="82"/>
    </row>
    <row r="32" spans="1:11" x14ac:dyDescent="0.3">
      <c r="A32" s="250" t="s">
        <v>437</v>
      </c>
      <c r="B32" s="150" t="s">
        <v>64</v>
      </c>
      <c r="C32" s="147"/>
      <c r="D32" s="147"/>
      <c r="E32" s="312"/>
      <c r="F32" s="147"/>
      <c r="H32" s="269" t="str">
        <f>IF($C$12=Konstantos!$A$85,
    IF(J32&lt;0,
        _xlfn.CONCAT("Klaida! Įvesta per didelė paramos sumą. Sumažinkite: ", J32, " Eur"),
        _xlfn.CONCAT("Paramos likutis etapo investicijų finansavimui: ", J32, " Eur")),
    IF($C$12=Konstantos!$A$87,
        IF(J32&gt;=0,
            _xlfn.CONCAT("Paramos likutis etapo investicijų finansavimui: ", J32, " Eur"),
            _xlfn.CONCAT("Klaida! Įvedėte per didelį paramos dydį: ", J32, " Eur")),
    IF($C$12=Konstantos!$A$86,
        IF(F27&lt;&gt;E32,
            _xlfn.CONCAT("Klaida! Įveskite etapo paramos sumą: ", F27, " Eur"),
            "ok"),
        "Klaida! Pasirinkite paramos išmokėjimo būdą!")))</f>
        <v>Klaida! Pasirinkite paramos išmokėjimo būdą!</v>
      </c>
      <c r="I32" s="83"/>
      <c r="J32" s="83" t="str">
        <f>IF(
    OR(
        $C$12 =
            Konstantos!$A$85,
        $C$12 = Konstantos!$A$87
    ),
    SUMIFS(
        $F$1:$F19,
        $B$1:$B19, "Paramos išmokėjimas*"
    ) + $C$14 -
        SUMIFS(
            $E$1:$E32,
            $B$1:$B32, "Paramos lėšos"
        ),
    IF(
        $C$12 =
            Konstantos!$A$86,
        $F27,
        "-"
    )
)</f>
        <v>-</v>
      </c>
      <c r="K32" s="85"/>
    </row>
    <row r="33" spans="1:11" ht="14.4" thickBot="1" x14ac:dyDescent="0.35">
      <c r="A33" s="247"/>
      <c r="B33" s="245" t="s">
        <v>71</v>
      </c>
      <c r="C33" s="246"/>
      <c r="D33" s="246"/>
      <c r="E33" s="354">
        <f>SUM(E29:E32)</f>
        <v>0</v>
      </c>
      <c r="F33" s="246"/>
      <c r="H33" s="269"/>
      <c r="I33" s="82"/>
    </row>
    <row r="34" spans="1:11" ht="14.4" thickTop="1" x14ac:dyDescent="0.3">
      <c r="A34" s="249" t="s">
        <v>438</v>
      </c>
      <c r="B34" s="240" t="s">
        <v>43</v>
      </c>
      <c r="C34" s="311"/>
      <c r="D34" s="241"/>
      <c r="E34" s="241"/>
      <c r="F34" s="241"/>
      <c r="H34" s="269" t="str">
        <f>IF(AND(C34="",D40&lt;&gt;0),"Klaida! Įveskite etapo paramos išmokėjimo prašymo pateikimo datą","ok")</f>
        <v>ok</v>
      </c>
      <c r="I34" s="82"/>
    </row>
    <row r="35" spans="1:11" x14ac:dyDescent="0.3">
      <c r="A35" s="250" t="s">
        <v>439</v>
      </c>
      <c r="B35" s="489"/>
      <c r="C35" s="490"/>
      <c r="D35" s="312"/>
      <c r="E35" s="312"/>
      <c r="F35" s="312"/>
      <c r="H35" s="269"/>
      <c r="I35" s="82"/>
    </row>
    <row r="36" spans="1:11" x14ac:dyDescent="0.3">
      <c r="A36" s="250" t="s">
        <v>440</v>
      </c>
      <c r="B36" s="489"/>
      <c r="C36" s="490"/>
      <c r="D36" s="312"/>
      <c r="E36" s="312"/>
      <c r="F36" s="312"/>
      <c r="H36" s="269"/>
      <c r="I36" s="82"/>
    </row>
    <row r="37" spans="1:11" x14ac:dyDescent="0.3">
      <c r="A37" s="250" t="s">
        <v>441</v>
      </c>
      <c r="B37" s="489"/>
      <c r="C37" s="490"/>
      <c r="D37" s="312"/>
      <c r="E37" s="312"/>
      <c r="F37" s="312"/>
      <c r="H37" s="269"/>
      <c r="I37" s="82"/>
    </row>
    <row r="38" spans="1:11" x14ac:dyDescent="0.3">
      <c r="A38" s="250" t="s">
        <v>442</v>
      </c>
      <c r="B38" s="489"/>
      <c r="C38" s="490"/>
      <c r="D38" s="312"/>
      <c r="E38" s="312"/>
      <c r="F38" s="312"/>
      <c r="H38" s="269"/>
      <c r="I38" s="82"/>
    </row>
    <row r="39" spans="1:11" x14ac:dyDescent="0.3">
      <c r="A39" s="250" t="s">
        <v>443</v>
      </c>
      <c r="B39" s="489"/>
      <c r="C39" s="490"/>
      <c r="D39" s="312"/>
      <c r="E39" s="312"/>
      <c r="F39" s="312"/>
      <c r="H39" s="269"/>
      <c r="I39" s="82"/>
    </row>
    <row r="40" spans="1:11" x14ac:dyDescent="0.3">
      <c r="A40" s="251"/>
      <c r="B40" s="145" t="s">
        <v>555</v>
      </c>
      <c r="C40" s="352" t="str">
        <f>IF(C34="","-",C34)</f>
        <v>-</v>
      </c>
      <c r="D40" s="353">
        <f>SUM(D35:D39)</f>
        <v>0</v>
      </c>
      <c r="E40" s="353">
        <f>SUM(E35:E39)</f>
        <v>0</v>
      </c>
      <c r="F40" s="252"/>
      <c r="H40" s="269"/>
      <c r="I40" s="82"/>
    </row>
    <row r="41" spans="1:11" ht="24" x14ac:dyDescent="0.3">
      <c r="A41" s="251"/>
      <c r="B41" s="146" t="s">
        <v>954</v>
      </c>
      <c r="C41" s="352" t="str">
        <f>IF(C34="","-",EOMONTH(C34,Parametrai!$C$17))</f>
        <v>-</v>
      </c>
      <c r="D41" s="147"/>
      <c r="E41" s="147"/>
      <c r="F41" s="353">
        <f>IF($C$14+SUMIFS($F$17:$F33,$B$17:$B33,"Paramos išmokėjimas*")+SUM(F35:F39)&lt;$C$11,SUM(F35:F39),IF($C$14+SUMIFS($F$17:$F33,$B$17:$B33,"Paramos išmokėjimas*")&lt;=$C$11,$C$11-$C$14-SUMIFS($F$17:$F33,$B$17:$B33,"Paramos išmokėjimas*"),0))</f>
        <v>0</v>
      </c>
      <c r="H41" s="269"/>
      <c r="I41" s="83" t="b">
        <f>OR(SUM(F35:F39)&gt;0)</f>
        <v>0</v>
      </c>
      <c r="J41" s="83"/>
    </row>
    <row r="42" spans="1:11" x14ac:dyDescent="0.3">
      <c r="A42" s="251"/>
      <c r="B42" s="148" t="s">
        <v>413</v>
      </c>
      <c r="C42" s="147"/>
      <c r="D42" s="147"/>
      <c r="E42" s="147"/>
      <c r="F42" s="147"/>
      <c r="H42" s="269"/>
      <c r="I42" s="82"/>
    </row>
    <row r="43" spans="1:11" x14ac:dyDescent="0.3">
      <c r="A43" s="250" t="s">
        <v>444</v>
      </c>
      <c r="B43" s="150" t="s">
        <v>61</v>
      </c>
      <c r="C43" s="147"/>
      <c r="D43" s="147"/>
      <c r="E43" s="312"/>
      <c r="F43" s="147"/>
      <c r="H43" s="269"/>
      <c r="I43" s="82"/>
    </row>
    <row r="44" spans="1:11" x14ac:dyDescent="0.3">
      <c r="A44" s="250" t="s">
        <v>445</v>
      </c>
      <c r="B44" s="150" t="s">
        <v>62</v>
      </c>
      <c r="C44" s="147"/>
      <c r="D44" s="147"/>
      <c r="E44" s="312"/>
      <c r="F44" s="147"/>
      <c r="H44" s="269"/>
      <c r="I44" s="82"/>
    </row>
    <row r="45" spans="1:11" x14ac:dyDescent="0.3">
      <c r="A45" s="250" t="s">
        <v>446</v>
      </c>
      <c r="B45" s="150" t="s">
        <v>63</v>
      </c>
      <c r="C45" s="147"/>
      <c r="D45" s="147"/>
      <c r="E45" s="312"/>
      <c r="F45" s="147"/>
      <c r="H45" s="269"/>
      <c r="I45" s="82"/>
    </row>
    <row r="46" spans="1:11" x14ac:dyDescent="0.3">
      <c r="A46" s="250" t="s">
        <v>447</v>
      </c>
      <c r="B46" s="150" t="s">
        <v>64</v>
      </c>
      <c r="C46" s="147"/>
      <c r="D46" s="147"/>
      <c r="E46" s="312"/>
      <c r="F46" s="147"/>
      <c r="H46" s="269" t="str">
        <f>IF($C$12=Konstantos!$A$85,
    IF(J46&lt;0,
        _xlfn.CONCAT("Klaida! Įvesta per didelė paramos sumą. Sumažinkite: ", J46, " Eur"),
        _xlfn.CONCAT("Paramos likutis etapo investicijų finansavimui: ", J46, " Eur")),
    IF($C$12=Konstantos!$A$87,
        IF(J46&gt;=0,
            _xlfn.CONCAT("Paramos likutis etapo investicijų finansavimui: ", J46, " Eur"),
            _xlfn.CONCAT("Klaida! Įvedėte per didelį paramos dydį: ", J46, " Eur")),
    IF($C$12=Konstantos!$A$86,
        IF(F41&lt;&gt;E46,
            _xlfn.CONCAT("Klaida! Įveskite etapo paramos sumą: ", F41, " Eur"),
            "ok"),
        "Klaida! Pasirinkite paramos išmokėjimo būdą!")))</f>
        <v>Klaida! Pasirinkite paramos išmokėjimo būdą!</v>
      </c>
      <c r="I46" s="83"/>
      <c r="J46" s="83" t="str">
        <f>IF(
    OR(
        $C$12 =
            Konstantos!$A$85,
        $C$12 = Konstantos!$A$87
    ),
    SUMIFS(
        $F$1:$F33,
        $B$1:$B33, "Paramos išmokėjimas*"
    ) + $C$14 -
        SUMIFS(
            $E$1:$E46,
            $B$1:$B46, "Paramos lėšos"
        ),
    IF(
        $C$12 =
            Konstantos!$A$86,
        $F41,
        "-"
    )
)</f>
        <v>-</v>
      </c>
      <c r="K46" s="85"/>
    </row>
    <row r="47" spans="1:11" ht="14.4" thickBot="1" x14ac:dyDescent="0.35">
      <c r="A47" s="247"/>
      <c r="B47" s="245" t="s">
        <v>71</v>
      </c>
      <c r="C47" s="246"/>
      <c r="D47" s="246"/>
      <c r="E47" s="354">
        <f>SUM(E43:E46)</f>
        <v>0</v>
      </c>
      <c r="F47" s="246"/>
      <c r="H47" s="269"/>
      <c r="I47" s="82"/>
    </row>
    <row r="48" spans="1:11" ht="14.4" thickTop="1" x14ac:dyDescent="0.3">
      <c r="A48" s="249" t="s">
        <v>448</v>
      </c>
      <c r="B48" s="241" t="s">
        <v>72</v>
      </c>
      <c r="C48" s="311"/>
      <c r="D48" s="241"/>
      <c r="E48" s="241"/>
      <c r="F48" s="241"/>
      <c r="H48" s="269" t="str">
        <f>IF(AND(C48="",D54&lt;&gt;0),"Klaida! Įveskite etapo paramos išmokėjimo prašymo pateikimo datą","ok")</f>
        <v>ok</v>
      </c>
      <c r="I48" s="82"/>
    </row>
    <row r="49" spans="1:11" x14ac:dyDescent="0.3">
      <c r="A49" s="250" t="s">
        <v>449</v>
      </c>
      <c r="B49" s="489"/>
      <c r="C49" s="490"/>
      <c r="D49" s="312"/>
      <c r="E49" s="312"/>
      <c r="F49" s="312"/>
      <c r="H49" s="269"/>
      <c r="I49" s="82"/>
    </row>
    <row r="50" spans="1:11" x14ac:dyDescent="0.3">
      <c r="A50" s="250" t="s">
        <v>450</v>
      </c>
      <c r="B50" s="489"/>
      <c r="C50" s="490"/>
      <c r="D50" s="312"/>
      <c r="E50" s="312"/>
      <c r="F50" s="312"/>
      <c r="H50" s="269"/>
      <c r="I50" s="82"/>
    </row>
    <row r="51" spans="1:11" x14ac:dyDescent="0.3">
      <c r="A51" s="250" t="s">
        <v>451</v>
      </c>
      <c r="B51" s="489"/>
      <c r="C51" s="490"/>
      <c r="D51" s="312"/>
      <c r="E51" s="312"/>
      <c r="F51" s="312"/>
      <c r="H51" s="269"/>
      <c r="I51" s="82"/>
    </row>
    <row r="52" spans="1:11" x14ac:dyDescent="0.3">
      <c r="A52" s="250" t="s">
        <v>452</v>
      </c>
      <c r="B52" s="489"/>
      <c r="C52" s="490"/>
      <c r="D52" s="312"/>
      <c r="E52" s="312"/>
      <c r="F52" s="312"/>
      <c r="H52" s="269"/>
      <c r="I52" s="82"/>
    </row>
    <row r="53" spans="1:11" x14ac:dyDescent="0.3">
      <c r="A53" s="250" t="s">
        <v>453</v>
      </c>
      <c r="B53" s="489"/>
      <c r="C53" s="490"/>
      <c r="D53" s="312"/>
      <c r="E53" s="312"/>
      <c r="F53" s="312"/>
      <c r="H53" s="269"/>
      <c r="I53" s="82"/>
    </row>
    <row r="54" spans="1:11" x14ac:dyDescent="0.3">
      <c r="A54" s="251"/>
      <c r="B54" s="145" t="s">
        <v>555</v>
      </c>
      <c r="C54" s="352" t="str">
        <f>IF(C48="","-",C48)</f>
        <v>-</v>
      </c>
      <c r="D54" s="353">
        <f>SUM(D49:D53)</f>
        <v>0</v>
      </c>
      <c r="E54" s="353">
        <f>SUM(E49:E53)</f>
        <v>0</v>
      </c>
      <c r="F54" s="252"/>
      <c r="H54" s="269"/>
      <c r="I54" s="82"/>
    </row>
    <row r="55" spans="1:11" ht="24" x14ac:dyDescent="0.3">
      <c r="A55" s="251"/>
      <c r="B55" s="146" t="s">
        <v>955</v>
      </c>
      <c r="C55" s="352" t="str">
        <f>IF(C48="","-",EOMONTH(C48,Parametrai!$C$17))</f>
        <v>-</v>
      </c>
      <c r="D55" s="147"/>
      <c r="E55" s="147"/>
      <c r="F55" s="353">
        <f>IF($C$14+SUMIFS($F$17:$F47,$B$17:$B47,"Paramos išmokėjimas*")+SUM(F49:F53)&lt;$C$11,SUM(F49:F53),IF($C$14+SUMIFS($F$17:$F47,$B$17:$B47,"Paramos išmokėjimas*")&lt;=$C$11,$C$11-$C$14-SUMIFS($F$17:$F47,$B$17:$B47,"Paramos išmokėjimas*"),0))</f>
        <v>0</v>
      </c>
      <c r="H55" s="269"/>
      <c r="I55" s="83" t="b">
        <f>OR(SUM(F49:F53)&gt;0)</f>
        <v>0</v>
      </c>
      <c r="J55" s="83"/>
    </row>
    <row r="56" spans="1:11" x14ac:dyDescent="0.3">
      <c r="A56" s="251"/>
      <c r="B56" s="148" t="s">
        <v>413</v>
      </c>
      <c r="C56" s="147"/>
      <c r="D56" s="147"/>
      <c r="E56" s="147"/>
      <c r="F56" s="147"/>
      <c r="H56" s="269"/>
      <c r="I56" s="82"/>
    </row>
    <row r="57" spans="1:11" x14ac:dyDescent="0.3">
      <c r="A57" s="250" t="s">
        <v>466</v>
      </c>
      <c r="B57" s="150" t="s">
        <v>61</v>
      </c>
      <c r="C57" s="147"/>
      <c r="D57" s="147"/>
      <c r="E57" s="312"/>
      <c r="F57" s="147"/>
      <c r="H57" s="269"/>
      <c r="I57" s="82"/>
    </row>
    <row r="58" spans="1:11" x14ac:dyDescent="0.3">
      <c r="A58" s="250" t="s">
        <v>467</v>
      </c>
      <c r="B58" s="150" t="s">
        <v>62</v>
      </c>
      <c r="C58" s="147"/>
      <c r="D58" s="147"/>
      <c r="E58" s="312"/>
      <c r="F58" s="147"/>
      <c r="H58" s="269"/>
      <c r="I58" s="82"/>
    </row>
    <row r="59" spans="1:11" x14ac:dyDescent="0.3">
      <c r="A59" s="250" t="s">
        <v>468</v>
      </c>
      <c r="B59" s="150" t="s">
        <v>63</v>
      </c>
      <c r="C59" s="147"/>
      <c r="D59" s="147"/>
      <c r="E59" s="312"/>
      <c r="F59" s="147"/>
      <c r="H59" s="269"/>
      <c r="I59" s="82"/>
    </row>
    <row r="60" spans="1:11" x14ac:dyDescent="0.3">
      <c r="A60" s="250" t="s">
        <v>469</v>
      </c>
      <c r="B60" s="150" t="s">
        <v>64</v>
      </c>
      <c r="C60" s="147"/>
      <c r="D60" s="147"/>
      <c r="E60" s="312"/>
      <c r="F60" s="147"/>
      <c r="H60" s="269" t="str">
        <f>IF($C$12=Konstantos!$A$85,
    IF(J60&lt;0,
        _xlfn.CONCAT("Klaida! Įvesta per didelė paramos sumą. Sumažinkite: ", J60, " Eur"),
        _xlfn.CONCAT("Paramos likutis etapo investicijų finansavimui: ", J60, " Eur")),
    IF($C$12=Konstantos!$A$87,
        IF(J60&gt;=0,
            _xlfn.CONCAT("Paramos likutis etapo investicijų finansavimui: ", J60, " Eur"),
            _xlfn.CONCAT("Klaida! Įvedėte per didelį paramos dydį: ", J60, " Eur")),
    IF($C$12=Konstantos!$A$86,
        IF(F55&lt;&gt;E60,
            _xlfn.CONCAT("Klaida! Įveskite etapo paramos sumą: ", F55, " Eur"),
            "ok"),
        "Klaida! Pasirinkite paramos išmokėjimo būdą!")))</f>
        <v>Klaida! Pasirinkite paramos išmokėjimo būdą!</v>
      </c>
      <c r="I60" s="83"/>
      <c r="J60" s="83" t="str">
        <f>IF(
    OR(
        $C$12 =
            Konstantos!$A$85,
        $C$12 = Konstantos!$A$87
    ),
    SUMIFS(
        $F$1:$F47,
        $B$1:$B47, "Paramos išmokėjimas*"
    ) + $C$14 -
        SUMIFS(
            $E$1:$E60,
            $B$1:$B60, "Paramos lėšos"
        ),
    IF(
        $C$12 =
            Konstantos!$A$86,
        $F55,
        "-"
    )
)</f>
        <v>-</v>
      </c>
      <c r="K60" s="85"/>
    </row>
    <row r="61" spans="1:11" ht="14.4" thickBot="1" x14ac:dyDescent="0.35">
      <c r="A61" s="247"/>
      <c r="B61" s="245" t="s">
        <v>71</v>
      </c>
      <c r="C61" s="246"/>
      <c r="D61" s="246"/>
      <c r="E61" s="354">
        <f>SUM(E57:E60)</f>
        <v>0</v>
      </c>
      <c r="F61" s="246"/>
      <c r="H61" s="269"/>
      <c r="I61" s="82"/>
    </row>
    <row r="62" spans="1:11" ht="14.4" thickTop="1" x14ac:dyDescent="0.3">
      <c r="A62" s="249" t="s">
        <v>454</v>
      </c>
      <c r="B62" s="241" t="s">
        <v>73</v>
      </c>
      <c r="C62" s="311"/>
      <c r="D62" s="241"/>
      <c r="E62" s="241"/>
      <c r="F62" s="241"/>
      <c r="H62" s="269" t="str">
        <f>IF(AND(C62="",D68&lt;&gt;0),"Klaida! Įveskite etapo paramos išmokėjimo prašymo pateikimo datą","ok")</f>
        <v>ok</v>
      </c>
      <c r="I62" s="82"/>
    </row>
    <row r="63" spans="1:11" x14ac:dyDescent="0.3">
      <c r="A63" s="250" t="s">
        <v>455</v>
      </c>
      <c r="B63" s="489"/>
      <c r="C63" s="490"/>
      <c r="D63" s="312"/>
      <c r="E63" s="312"/>
      <c r="F63" s="312"/>
      <c r="H63" s="269"/>
      <c r="I63" s="82"/>
    </row>
    <row r="64" spans="1:11" x14ac:dyDescent="0.3">
      <c r="A64" s="250" t="s">
        <v>456</v>
      </c>
      <c r="B64" s="489"/>
      <c r="C64" s="490"/>
      <c r="D64" s="312"/>
      <c r="E64" s="312"/>
      <c r="F64" s="312"/>
      <c r="H64" s="269"/>
      <c r="I64" s="82"/>
    </row>
    <row r="65" spans="1:11" x14ac:dyDescent="0.3">
      <c r="A65" s="250" t="s">
        <v>457</v>
      </c>
      <c r="B65" s="489"/>
      <c r="C65" s="490"/>
      <c r="D65" s="312"/>
      <c r="E65" s="312"/>
      <c r="F65" s="312"/>
      <c r="H65" s="269"/>
      <c r="I65" s="82"/>
    </row>
    <row r="66" spans="1:11" x14ac:dyDescent="0.3">
      <c r="A66" s="250" t="s">
        <v>458</v>
      </c>
      <c r="B66" s="489"/>
      <c r="C66" s="490"/>
      <c r="D66" s="312"/>
      <c r="E66" s="312"/>
      <c r="F66" s="312"/>
      <c r="H66" s="269"/>
      <c r="I66" s="82"/>
    </row>
    <row r="67" spans="1:11" x14ac:dyDescent="0.3">
      <c r="A67" s="250" t="s">
        <v>459</v>
      </c>
      <c r="B67" s="489"/>
      <c r="C67" s="490"/>
      <c r="D67" s="312"/>
      <c r="E67" s="312"/>
      <c r="F67" s="312"/>
      <c r="H67" s="269"/>
      <c r="I67" s="82"/>
    </row>
    <row r="68" spans="1:11" x14ac:dyDescent="0.3">
      <c r="A68" s="251"/>
      <c r="B68" s="145" t="s">
        <v>555</v>
      </c>
      <c r="C68" s="352" t="str">
        <f>IF(C62="","-",C62)</f>
        <v>-</v>
      </c>
      <c r="D68" s="353">
        <f>SUM(D63:D67)</f>
        <v>0</v>
      </c>
      <c r="E68" s="353">
        <f>SUM(E63:E67)</f>
        <v>0</v>
      </c>
      <c r="F68" s="252"/>
      <c r="H68" s="269"/>
      <c r="I68" s="82"/>
    </row>
    <row r="69" spans="1:11" ht="24" x14ac:dyDescent="0.3">
      <c r="A69" s="251"/>
      <c r="B69" s="146" t="s">
        <v>956</v>
      </c>
      <c r="C69" s="352" t="str">
        <f>IF(C62="","-",EOMONTH(C62,Parametrai!$C$17))</f>
        <v>-</v>
      </c>
      <c r="D69" s="147"/>
      <c r="E69" s="147"/>
      <c r="F69" s="353">
        <f>IF($C$14+SUMIFS($F$17:$F61,$B$17:$B61,"Paramos išmokėjimas*")+SUM(F63:F67)&lt;$C$11,SUM(F63:F67),IF($C$14+SUMIFS($F$17:$F61,$B$17:$B61,"Paramos išmokėjimas*")&lt;=$C$11,$C$11-$C$14-SUMIFS($F$17:$F61,$B$17:$B61,"Paramos išmokėjimas*"),0))</f>
        <v>0</v>
      </c>
      <c r="H69" s="269"/>
      <c r="I69" s="83" t="b">
        <f>OR(SUM(F63:F67)&gt;0)</f>
        <v>0</v>
      </c>
    </row>
    <row r="70" spans="1:11" x14ac:dyDescent="0.3">
      <c r="A70" s="251"/>
      <c r="B70" s="148" t="s">
        <v>413</v>
      </c>
      <c r="C70" s="147"/>
      <c r="D70" s="147"/>
      <c r="E70" s="147"/>
      <c r="F70" s="147"/>
      <c r="H70" s="269"/>
      <c r="I70" s="82"/>
    </row>
    <row r="71" spans="1:11" x14ac:dyDescent="0.3">
      <c r="A71" s="250" t="s">
        <v>470</v>
      </c>
      <c r="B71" s="150" t="s">
        <v>61</v>
      </c>
      <c r="C71" s="147"/>
      <c r="D71" s="147"/>
      <c r="E71" s="312"/>
      <c r="F71" s="147"/>
      <c r="H71" s="269"/>
      <c r="I71" s="82"/>
    </row>
    <row r="72" spans="1:11" x14ac:dyDescent="0.3">
      <c r="A72" s="250" t="s">
        <v>471</v>
      </c>
      <c r="B72" s="150" t="s">
        <v>62</v>
      </c>
      <c r="C72" s="147"/>
      <c r="D72" s="147"/>
      <c r="E72" s="312"/>
      <c r="F72" s="147"/>
      <c r="H72" s="269"/>
      <c r="I72" s="82"/>
    </row>
    <row r="73" spans="1:11" x14ac:dyDescent="0.3">
      <c r="A73" s="250" t="s">
        <v>472</v>
      </c>
      <c r="B73" s="150" t="s">
        <v>63</v>
      </c>
      <c r="C73" s="147"/>
      <c r="D73" s="147"/>
      <c r="E73" s="312"/>
      <c r="F73" s="147"/>
      <c r="H73" s="269"/>
      <c r="I73" s="82"/>
    </row>
    <row r="74" spans="1:11" x14ac:dyDescent="0.3">
      <c r="A74" s="250" t="s">
        <v>473</v>
      </c>
      <c r="B74" s="150" t="s">
        <v>64</v>
      </c>
      <c r="C74" s="147"/>
      <c r="D74" s="147"/>
      <c r="E74" s="312"/>
      <c r="F74" s="147"/>
      <c r="H74" s="269" t="str">
        <f>IF($C$12=Konstantos!$A$85,
    IF(J74&lt;0,
        _xlfn.CONCAT("Klaida! Įvesta per didelė paramos sumą. Sumažinkite: ", J74, " Eur"),
        _xlfn.CONCAT("Paramos likutis etapo investicijų finansavimui: ", J74, " Eur")),
    IF($C$12=Konstantos!$A$87,
        IF(J74&gt;=0,
            _xlfn.CONCAT("Paramos likutis etapo investicijų finansavimui: ", J74, " Eur"),
            _xlfn.CONCAT("Klaida! Įvedėte per didelį paramos dydį: ", J74, " Eur")),
    IF($C$12=Konstantos!$A$86,
        IF(F69&lt;&gt;E74,
            _xlfn.CONCAT("Klaida! Įveskite etapo paramos sumą: ", F69, " Eur"),
            "ok"),
        "Klaida! Pasirinkite paramos išmokėjimo būdą!")))</f>
        <v>Klaida! Pasirinkite paramos išmokėjimo būdą!</v>
      </c>
      <c r="I74" s="83"/>
      <c r="J74" s="83" t="str">
        <f>IF(
    OR(
        $C$12 =
            Konstantos!$A$85,
        $C$12 = Konstantos!$A$87
    ),
    SUMIFS(
        $F$1:$F61,
        $B$1:$B61, "Paramos išmokėjimas*"
    ) + $C$14 -
        SUMIFS(
            $E$1:$E74,
            $B$1:$B74, "Paramos lėšos"
        ),
    IF(
        $C$12 =
            Konstantos!$A$86,
        $F69,
        "-"
    )
)</f>
        <v>-</v>
      </c>
      <c r="K74" s="85"/>
    </row>
    <row r="75" spans="1:11" ht="14.4" thickBot="1" x14ac:dyDescent="0.35">
      <c r="A75" s="247"/>
      <c r="B75" s="245" t="s">
        <v>71</v>
      </c>
      <c r="C75" s="246"/>
      <c r="D75" s="246"/>
      <c r="E75" s="354">
        <f>SUM(E71:E74)</f>
        <v>0</v>
      </c>
      <c r="F75" s="246"/>
      <c r="H75" s="269"/>
      <c r="I75" s="82"/>
    </row>
    <row r="76" spans="1:11" ht="14.4" thickTop="1" x14ac:dyDescent="0.3">
      <c r="A76" s="249" t="s">
        <v>460</v>
      </c>
      <c r="B76" s="241" t="s">
        <v>74</v>
      </c>
      <c r="C76" s="311"/>
      <c r="D76" s="241"/>
      <c r="E76" s="241"/>
      <c r="F76" s="241"/>
      <c r="H76" s="269" t="str">
        <f>IF(AND(C76="",D82&lt;&gt;0),"Klaida! Įveskite etapo paramos išmokėjimo prašymo pateikimo datą","ok")</f>
        <v>ok</v>
      </c>
      <c r="I76" s="82"/>
    </row>
    <row r="77" spans="1:11" x14ac:dyDescent="0.3">
      <c r="A77" s="250" t="s">
        <v>461</v>
      </c>
      <c r="B77" s="489"/>
      <c r="C77" s="490"/>
      <c r="D77" s="312"/>
      <c r="E77" s="312"/>
      <c r="F77" s="312"/>
      <c r="H77" s="269"/>
      <c r="I77" s="82"/>
    </row>
    <row r="78" spans="1:11" x14ac:dyDescent="0.3">
      <c r="A78" s="250" t="s">
        <v>462</v>
      </c>
      <c r="B78" s="489"/>
      <c r="C78" s="490"/>
      <c r="D78" s="312"/>
      <c r="E78" s="312"/>
      <c r="F78" s="312"/>
      <c r="H78" s="269"/>
      <c r="I78" s="82"/>
    </row>
    <row r="79" spans="1:11" x14ac:dyDescent="0.3">
      <c r="A79" s="250" t="s">
        <v>463</v>
      </c>
      <c r="B79" s="489"/>
      <c r="C79" s="490"/>
      <c r="D79" s="312"/>
      <c r="E79" s="312"/>
      <c r="F79" s="312"/>
      <c r="H79" s="269"/>
      <c r="I79" s="82"/>
    </row>
    <row r="80" spans="1:11" x14ac:dyDescent="0.3">
      <c r="A80" s="250" t="s">
        <v>464</v>
      </c>
      <c r="B80" s="489"/>
      <c r="C80" s="490"/>
      <c r="D80" s="312"/>
      <c r="E80" s="312"/>
      <c r="F80" s="312"/>
      <c r="H80" s="269"/>
      <c r="I80" s="82"/>
    </row>
    <row r="81" spans="1:11" x14ac:dyDescent="0.3">
      <c r="A81" s="250" t="s">
        <v>465</v>
      </c>
      <c r="B81" s="489"/>
      <c r="C81" s="490"/>
      <c r="D81" s="312"/>
      <c r="E81" s="312"/>
      <c r="F81" s="312"/>
      <c r="H81" s="269"/>
      <c r="I81" s="82"/>
    </row>
    <row r="82" spans="1:11" x14ac:dyDescent="0.3">
      <c r="A82" s="251"/>
      <c r="B82" s="145" t="s">
        <v>555</v>
      </c>
      <c r="C82" s="352" t="str">
        <f>IF(C76="","-",C76)</f>
        <v>-</v>
      </c>
      <c r="D82" s="353">
        <f>SUM(D77:D81)</f>
        <v>0</v>
      </c>
      <c r="E82" s="353">
        <f>SUM(E77:E81)</f>
        <v>0</v>
      </c>
      <c r="F82" s="252"/>
      <c r="H82" s="269"/>
      <c r="I82" s="82"/>
    </row>
    <row r="83" spans="1:11" ht="24" x14ac:dyDescent="0.3">
      <c r="A83" s="251"/>
      <c r="B83" s="146" t="s">
        <v>956</v>
      </c>
      <c r="C83" s="352" t="str">
        <f>IF(C76="","-",EOMONTH(C76,Parametrai!$C$17))</f>
        <v>-</v>
      </c>
      <c r="D83" s="147"/>
      <c r="E83" s="147"/>
      <c r="F83" s="353">
        <f>IF($C$14+SUMIFS($F$17:$F75,$B$17:$B75,"Paramos išmokėjimas*")+SUM(F77:F81)&lt;$C$11,SUM(F77:F81),IF($C$14+SUMIFS($F$17:$F75,$B$17:$B75,"Paramos išmokėjimas*")&lt;=$C$11,$C$11-$C$14-SUMIFS($F$17:$F75,$B$17:$B75,"Paramos išmokėjimas*"),0))</f>
        <v>0</v>
      </c>
      <c r="H83" s="269"/>
      <c r="I83" s="83" t="b">
        <f>OR(SUM(F77:F81)&gt;0)</f>
        <v>0</v>
      </c>
    </row>
    <row r="84" spans="1:11" x14ac:dyDescent="0.3">
      <c r="A84" s="251"/>
      <c r="B84" s="148" t="s">
        <v>413</v>
      </c>
      <c r="C84" s="147"/>
      <c r="D84" s="147"/>
      <c r="E84" s="147"/>
      <c r="F84" s="147"/>
      <c r="H84" s="269"/>
      <c r="I84" s="82"/>
    </row>
    <row r="85" spans="1:11" x14ac:dyDescent="0.3">
      <c r="A85" s="250" t="s">
        <v>474</v>
      </c>
      <c r="B85" s="150" t="s">
        <v>61</v>
      </c>
      <c r="C85" s="147"/>
      <c r="D85" s="147"/>
      <c r="E85" s="312"/>
      <c r="F85" s="147"/>
      <c r="H85" s="269"/>
      <c r="I85" s="82"/>
    </row>
    <row r="86" spans="1:11" x14ac:dyDescent="0.3">
      <c r="A86" s="250" t="s">
        <v>475</v>
      </c>
      <c r="B86" s="150" t="s">
        <v>62</v>
      </c>
      <c r="C86" s="147"/>
      <c r="D86" s="147"/>
      <c r="E86" s="312"/>
      <c r="F86" s="147"/>
      <c r="H86" s="269"/>
      <c r="I86" s="82"/>
    </row>
    <row r="87" spans="1:11" x14ac:dyDescent="0.3">
      <c r="A87" s="250" t="s">
        <v>476</v>
      </c>
      <c r="B87" s="150" t="s">
        <v>63</v>
      </c>
      <c r="C87" s="147"/>
      <c r="D87" s="147"/>
      <c r="E87" s="312"/>
      <c r="F87" s="147"/>
      <c r="H87" s="269"/>
      <c r="I87" s="82"/>
    </row>
    <row r="88" spans="1:11" x14ac:dyDescent="0.3">
      <c r="A88" s="250" t="s">
        <v>477</v>
      </c>
      <c r="B88" s="150" t="s">
        <v>64</v>
      </c>
      <c r="C88" s="147"/>
      <c r="D88" s="147"/>
      <c r="E88" s="312"/>
      <c r="F88" s="147"/>
      <c r="H88" s="269" t="str">
        <f>IF($C$12=Konstantos!$A$85,
    IF(J88&lt;0,
        _xlfn.CONCAT("Klaida! Įvesta per didelė paramos sumą. Sumažinkite: ", J88, " Eur"),
        _xlfn.CONCAT("Paramos likutis etapo investicijų finansavimui: ", J88, " Eur")),
    IF($C$12=Konstantos!$A$87,
        IF(J88&gt;=0,
            _xlfn.CONCAT("Paramos likutis etapo investicijų finansavimui: ", J88, " Eur"),
            _xlfn.CONCAT("Klaida! Įvedėte per didelį paramos dydį: ", J88, " Eur")),
    IF($C$12=Konstantos!$A$86,
        IF(F83&lt;&gt;E88,
            _xlfn.CONCAT("Klaida! Įveskite etapo paramos sumą: ", F83, " Eur"),
            "ok"),
        "Klaida! Pasirinkite paramos išmokėjimo būdą!")))</f>
        <v>Klaida! Pasirinkite paramos išmokėjimo būdą!</v>
      </c>
      <c r="I88" s="83"/>
      <c r="J88" s="83" t="str">
        <f>IF(
    OR(
        $C$12 =
            Konstantos!$A$85,
        $C$12 = Konstantos!$A$87
    ),
    SUMIFS(
        $F$1:$F75,
        $B$1:$B75, "Paramos išmokėjimas*"
    ) + $C$14 -
        SUMIFS(
            $E$1:$E88,
            $B$1:$B88, "Paramos lėšos"
        ),
    IF(
        $C$12 =
            Konstantos!$A$86,
        $F83,
        "-"
    )
)</f>
        <v>-</v>
      </c>
      <c r="K88" s="85"/>
    </row>
    <row r="89" spans="1:11" ht="14.4" thickBot="1" x14ac:dyDescent="0.35">
      <c r="A89" s="247"/>
      <c r="B89" s="245" t="s">
        <v>71</v>
      </c>
      <c r="C89" s="246"/>
      <c r="D89" s="246"/>
      <c r="E89" s="354">
        <f>SUM(E85:E88)</f>
        <v>0</v>
      </c>
      <c r="F89" s="246"/>
      <c r="H89" s="269"/>
      <c r="I89" s="82"/>
    </row>
    <row r="90" spans="1:11" ht="14.4" thickTop="1" x14ac:dyDescent="0.3"/>
  </sheetData>
  <sheetProtection algorithmName="SHA-512" hashValue="1akA3lPMBxLWmzvopxYd8kuSTyeVd0FYb6GRerjJozBHgo0aAJf+/M2GwEuhHiI6kz9hArXEQGNlBJgj2I8Cqg==" saltValue="g6gmA3WPfJ86HjXsJwGSCg==" spinCount="100000" sheet="1" objects="1" scenarios="1" formatRows="0" insertRows="0"/>
  <mergeCells count="27">
    <mergeCell ref="B77:C77"/>
    <mergeCell ref="B78:C78"/>
    <mergeCell ref="B79:C79"/>
    <mergeCell ref="B80:C80"/>
    <mergeCell ref="B81:C81"/>
    <mergeCell ref="B63:C63"/>
    <mergeCell ref="B64:C64"/>
    <mergeCell ref="B65:C65"/>
    <mergeCell ref="B66:C66"/>
    <mergeCell ref="B67:C67"/>
    <mergeCell ref="B49:C49"/>
    <mergeCell ref="B50:C50"/>
    <mergeCell ref="B51:C51"/>
    <mergeCell ref="B52:C52"/>
    <mergeCell ref="B53:C53"/>
    <mergeCell ref="B24:C24"/>
    <mergeCell ref="B25:C25"/>
    <mergeCell ref="B1:D1"/>
    <mergeCell ref="B17:F17"/>
    <mergeCell ref="B21:C21"/>
    <mergeCell ref="B22:C22"/>
    <mergeCell ref="B23:C23"/>
    <mergeCell ref="B35:C35"/>
    <mergeCell ref="B36:C36"/>
    <mergeCell ref="B37:C37"/>
    <mergeCell ref="B38:C38"/>
    <mergeCell ref="B39:C39"/>
  </mergeCells>
  <phoneticPr fontId="12" type="noConversion"/>
  <conditionalFormatting sqref="C8">
    <cfRule type="expression" dxfId="97" priority="28">
      <formula>$C$8&gt;$C$11</formula>
    </cfRule>
  </conditionalFormatting>
  <conditionalFormatting sqref="C9:C10">
    <cfRule type="expression" dxfId="96" priority="104">
      <formula>$C$10&lt;&gt;$C$9</formula>
    </cfRule>
  </conditionalFormatting>
  <conditionalFormatting sqref="C20">
    <cfRule type="expression" dxfId="95" priority="6">
      <formula>AND(C20="",D26&lt;&gt;0)</formula>
    </cfRule>
  </conditionalFormatting>
  <conditionalFormatting sqref="C34">
    <cfRule type="expression" dxfId="94" priority="8">
      <formula>AND(C34="",D40&lt;&gt;0)</formula>
    </cfRule>
  </conditionalFormatting>
  <conditionalFormatting sqref="C48">
    <cfRule type="expression" dxfId="93" priority="10">
      <formula>AND(C48="",D54&lt;&gt;0)</formula>
    </cfRule>
  </conditionalFormatting>
  <conditionalFormatting sqref="C62">
    <cfRule type="expression" dxfId="92" priority="12">
      <formula>AND(C62="",D68&lt;&gt;0)</formula>
    </cfRule>
  </conditionalFormatting>
  <conditionalFormatting sqref="C76">
    <cfRule type="expression" dxfId="91" priority="15">
      <formula>AND(C76="",D82&lt;&gt;0)</formula>
    </cfRule>
  </conditionalFormatting>
  <conditionalFormatting sqref="D11">
    <cfRule type="expression" dxfId="90" priority="67">
      <formula>$C$11&lt;&gt;$D$11</formula>
    </cfRule>
  </conditionalFormatting>
  <conditionalFormatting sqref="E33">
    <cfRule type="expression" dxfId="89" priority="29">
      <formula>E33&lt;&gt;E26</formula>
    </cfRule>
  </conditionalFormatting>
  <conditionalFormatting sqref="E47">
    <cfRule type="expression" dxfId="88" priority="30">
      <formula>E47&lt;&gt;E40</formula>
    </cfRule>
  </conditionalFormatting>
  <conditionalFormatting sqref="E61">
    <cfRule type="expression" dxfId="87" priority="31">
      <formula>E61&lt;&gt;E54</formula>
    </cfRule>
  </conditionalFormatting>
  <conditionalFormatting sqref="E75">
    <cfRule type="expression" dxfId="86" priority="106">
      <formula>E75&lt;&gt;E68</formula>
    </cfRule>
  </conditionalFormatting>
  <conditionalFormatting sqref="E89">
    <cfRule type="expression" dxfId="85" priority="32">
      <formula>E89&lt;&gt;E82</formula>
    </cfRule>
  </conditionalFormatting>
  <conditionalFormatting sqref="F19">
    <cfRule type="expression" dxfId="84" priority="27">
      <formula>$F$19&gt;$C$11</formula>
    </cfRule>
  </conditionalFormatting>
  <conditionalFormatting sqref="H12:H13">
    <cfRule type="expression" dxfId="83" priority="101">
      <formula>H12&lt;&gt;"ok"</formula>
    </cfRule>
  </conditionalFormatting>
  <conditionalFormatting sqref="H15">
    <cfRule type="expression" dxfId="82" priority="102">
      <formula>H15&lt;&gt;"ok"</formula>
    </cfRule>
  </conditionalFormatting>
  <conditionalFormatting sqref="H20">
    <cfRule type="expression" dxfId="81" priority="5">
      <formula>ISNUMBER(SEARCH("Klaida", H20))</formula>
    </cfRule>
  </conditionalFormatting>
  <conditionalFormatting sqref="H32">
    <cfRule type="expression" dxfId="80" priority="62">
      <formula>ISNUMBER(SEARCH("Klaida", H32))</formula>
    </cfRule>
  </conditionalFormatting>
  <conditionalFormatting sqref="H34">
    <cfRule type="expression" dxfId="79" priority="7">
      <formula>ISNUMBER(SEARCH("Klaida", H34))</formula>
    </cfRule>
  </conditionalFormatting>
  <conditionalFormatting sqref="H46">
    <cfRule type="expression" dxfId="78" priority="4">
      <formula>ISNUMBER(SEARCH("Klaida", H46))</formula>
    </cfRule>
  </conditionalFormatting>
  <conditionalFormatting sqref="H48">
    <cfRule type="expression" dxfId="77" priority="9">
      <formula>ISNUMBER(SEARCH("Klaida", H48))</formula>
    </cfRule>
  </conditionalFormatting>
  <conditionalFormatting sqref="H60">
    <cfRule type="expression" dxfId="76" priority="3">
      <formula>ISNUMBER(SEARCH("Klaida", H60))</formula>
    </cfRule>
  </conditionalFormatting>
  <conditionalFormatting sqref="H62">
    <cfRule type="expression" dxfId="75" priority="11">
      <formula>ISNUMBER(SEARCH("Klaida", H62))</formula>
    </cfRule>
  </conditionalFormatting>
  <conditionalFormatting sqref="H74">
    <cfRule type="expression" dxfId="74" priority="2">
      <formula>ISNUMBER(SEARCH("Klaida", H74))</formula>
    </cfRule>
  </conditionalFormatting>
  <conditionalFormatting sqref="H76">
    <cfRule type="expression" dxfId="73" priority="13">
      <formula>ISNUMBER(SEARCH("Klaida", H76))</formula>
    </cfRule>
  </conditionalFormatting>
  <conditionalFormatting sqref="H88">
    <cfRule type="expression" dxfId="72" priority="1">
      <formula>ISNUMBER(SEARCH("Klaida", H88))</formula>
    </cfRule>
  </conditionalFormatting>
  <dataValidations count="1">
    <dataValidation type="list" allowBlank="1" showInputMessage="1" showErrorMessage="1" error="Pasirinkite paramos išmokėjimo būdą iš sąrašo" sqref="C12" xr:uid="{090C3EF3-0017-4DAE-83B5-5334A2680A32}">
      <formula1>Meniu_ParamosIšmokėjimoBūdai</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CCE6A557-97BC-4b89-ADB6-D9C93CAAB3DF}">
      <x14:dataValidations xmlns:xm="http://schemas.microsoft.com/office/excel/2006/main" count="1">
        <x14:dataValidation type="custom" allowBlank="1" showInputMessage="1" showErrorMessage="1" error="Ar pasirinkote &quot;Kompensavimo su avansu&quot; paramos išmokėjimo būdą? Jei pasirinkote &quot;Kompensavimo su avansu&quot; paramos išmokėjimo būdą,  atkreikite dėmesį kad avanso dydis turi būti ne didesnis kaip nustatytas taisyklėse." prompt="Jei pasirinkote &quot;Kompensavimo su avansu&quot; paramos išmokėjimo būdą,  atkreikite dėmesį kad avanso dydis turi būti ne didesnis kaip nustatytas taisyklėse." xr:uid="{F1144955-4478-4ACF-964D-5B89C3B0D745}">
          <x14:formula1>
            <xm:f>IF(AND(B13&lt;&gt;"",C13&gt;0,C13&lt;=Parametrai!$C$27),TRUE,FALSE)</xm:f>
          </x14:formula1>
          <xm:sqref>C13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apas9">
    <tabColor theme="9" tint="-0.249977111117893"/>
  </sheetPr>
  <dimension ref="A1:R70"/>
  <sheetViews>
    <sheetView topLeftCell="B1" zoomScale="91" zoomScaleNormal="130" workbookViewId="0">
      <pane xSplit="2" ySplit="4" topLeftCell="D46" activePane="bottomRight" state="frozen"/>
      <selection activeCell="B1" sqref="B1"/>
      <selection pane="topRight" activeCell="D1" sqref="D1"/>
      <selection pane="bottomLeft" activeCell="B5" sqref="B5"/>
      <selection pane="bottomRight" activeCell="Q64" sqref="Q64"/>
    </sheetView>
  </sheetViews>
  <sheetFormatPr defaultColWidth="8.6640625" defaultRowHeight="13.8" x14ac:dyDescent="0.3"/>
  <cols>
    <col min="1" max="1" width="2.6640625" style="11" hidden="1" customWidth="1"/>
    <col min="2" max="2" width="6.33203125" style="11" customWidth="1"/>
    <col min="3" max="3" width="33.6640625" style="11" customWidth="1"/>
    <col min="4" max="12" width="10" style="11" customWidth="1"/>
    <col min="13" max="13" width="5.33203125" style="10" customWidth="1"/>
    <col min="14" max="14" width="52.6640625" style="11" customWidth="1"/>
    <col min="15" max="16384" width="8.6640625" style="11"/>
  </cols>
  <sheetData>
    <row r="1" spans="1:18" s="7" customFormat="1" ht="12" customHeight="1" x14ac:dyDescent="0.3">
      <c r="B1" s="151" t="s">
        <v>21</v>
      </c>
      <c r="C1" s="493" t="s">
        <v>671</v>
      </c>
      <c r="D1" s="493"/>
      <c r="E1" s="493"/>
      <c r="F1" s="493"/>
      <c r="G1" s="493"/>
      <c r="H1" s="493"/>
      <c r="I1" s="493"/>
      <c r="J1" s="493"/>
      <c r="K1" s="493"/>
      <c r="L1" s="493"/>
      <c r="M1" s="6"/>
      <c r="N1" s="275" t="s">
        <v>293</v>
      </c>
    </row>
    <row r="2" spans="1:18" ht="10.65" customHeight="1" x14ac:dyDescent="0.3">
      <c r="B2" s="20"/>
      <c r="C2" s="38" t="s">
        <v>533</v>
      </c>
      <c r="D2" s="211">
        <f>D62-SUMIFS('5'!$D:$D,'5'!$C:$C,"&gt;="&amp;DATE('6'!D$4,1,1),'5'!$C:$C,"&lt;="&amp;DATE('6'!D$4,12,31))</f>
        <v>0</v>
      </c>
      <c r="E2" s="211">
        <f>E62-SUMIFS('5'!$D:$D,'5'!$C:$C,"&gt;="&amp;DATE('6'!E$4,1,1),'5'!$C:$C,"&lt;="&amp;DATE('6'!E$4,12,31))</f>
        <v>0</v>
      </c>
      <c r="F2" s="211">
        <f>F62-SUMIFS('5'!$D:$D,'5'!$C:$C,"&gt;="&amp;DATE('6'!F$4,1,1),'5'!$C:$C,"&lt;="&amp;DATE('6'!F$4,12,31))</f>
        <v>0</v>
      </c>
      <c r="G2" s="211">
        <f>G62-SUMIFS('5'!$D:$D,'5'!$C:$C,"&gt;="&amp;DATE('6'!G$4,1,1),'5'!$C:$C,"&lt;="&amp;DATE('6'!G$4,12,31))</f>
        <v>0</v>
      </c>
      <c r="H2" s="211"/>
      <c r="I2" s="211"/>
      <c r="J2" s="211">
        <f>J62-SUMIFS('5'!$D:$D,'5'!$C:$C,"&gt;="&amp;DATE('6'!J$4,1,1),'5'!$C:$C,"&lt;="&amp;DATE('6'!J$4,12,31))</f>
        <v>0</v>
      </c>
      <c r="K2" s="211">
        <f>K62-SUMIFS('5'!$D:$D,'5'!$C:$C,"&gt;="&amp;DATE('6'!K$4,1,1),'5'!$C:$C,"&lt;="&amp;DATE('6'!K$4,12,31))</f>
        <v>0</v>
      </c>
      <c r="L2" s="211">
        <f>L62-SUMIFS('5'!$D:$D,'5'!$C:$C,"&gt;="&amp;DATE('6'!L$4,1,1),'5'!$C:$C,"&lt;="&amp;DATE('6'!L$4,12,31))</f>
        <v>0</v>
      </c>
      <c r="N2" s="269" t="str">
        <f>IF(COUNTIFS($D$2:$L$2,"&lt;0")&gt;0,"Klaida! Tikrinkite, investicijų suma įvesta 5 skyriuje yra didesnė už įsigijimus šiame skyriuje","ok")</f>
        <v>ok</v>
      </c>
    </row>
    <row r="3" spans="1:18" s="26" customFormat="1" ht="21.45" customHeight="1" x14ac:dyDescent="0.3">
      <c r="A3" s="230"/>
      <c r="B3" s="460" t="s">
        <v>22</v>
      </c>
      <c r="C3" s="475" t="s">
        <v>44</v>
      </c>
      <c r="D3" s="131" t="str">
        <f>IF(AND('1'!$C$22="Verslo pradžia",YEAR('1'!$E$22)=YEAR('1'!$C$11)),"Pradžios metai","Ataskaitiniai metai")</f>
        <v>Pradžios metai</v>
      </c>
      <c r="E3" s="464" t="s">
        <v>12</v>
      </c>
      <c r="F3" s="465"/>
      <c r="G3" s="465"/>
      <c r="H3" s="465"/>
      <c r="I3" s="465"/>
      <c r="J3" s="465"/>
      <c r="K3" s="465"/>
      <c r="L3" s="465"/>
      <c r="M3" s="25"/>
      <c r="N3" s="269" t="str">
        <f>IF(COUNTIFS($D$2:$L$2,"&gt;0")&gt;0,"Dėmesio! Įsitikinkite, ar tikrai investicijų suma įvesta 5 skyriuje turi būti mažesnė už įsigijimų vertę šiame skyriuje","ok")</f>
        <v>ok</v>
      </c>
    </row>
    <row r="4" spans="1:18" s="26" customFormat="1" ht="12.75" customHeight="1" thickBot="1" x14ac:dyDescent="0.35">
      <c r="A4" s="231"/>
      <c r="B4" s="461"/>
      <c r="C4" s="476"/>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25"/>
      <c r="N4" s="276"/>
    </row>
    <row r="5" spans="1:18" ht="14.4" thickTop="1" x14ac:dyDescent="0.3">
      <c r="B5" s="152" t="s">
        <v>580</v>
      </c>
      <c r="C5" s="380" t="s">
        <v>98</v>
      </c>
      <c r="D5" s="207"/>
      <c r="E5" s="207"/>
      <c r="F5" s="207"/>
      <c r="G5" s="207"/>
      <c r="H5" s="207"/>
      <c r="I5" s="207"/>
      <c r="J5" s="207"/>
      <c r="K5" s="207"/>
      <c r="L5" s="207"/>
      <c r="M5" s="16"/>
      <c r="N5" s="276" t="s">
        <v>406</v>
      </c>
    </row>
    <row r="6" spans="1:18" x14ac:dyDescent="0.3">
      <c r="B6" s="27" t="s">
        <v>581</v>
      </c>
      <c r="C6" s="381" t="s">
        <v>45</v>
      </c>
      <c r="D6" s="313"/>
      <c r="E6" s="355">
        <f>D9</f>
        <v>0</v>
      </c>
      <c r="F6" s="355">
        <f t="shared" ref="F6:L6" si="0">E9</f>
        <v>0</v>
      </c>
      <c r="G6" s="355">
        <f t="shared" si="0"/>
        <v>0</v>
      </c>
      <c r="H6" s="355">
        <f t="shared" si="0"/>
        <v>0</v>
      </c>
      <c r="I6" s="355">
        <f t="shared" si="0"/>
        <v>0</v>
      </c>
      <c r="J6" s="355">
        <f t="shared" si="0"/>
        <v>0</v>
      </c>
      <c r="K6" s="355">
        <f t="shared" si="0"/>
        <v>0</v>
      </c>
      <c r="L6" s="355">
        <f t="shared" si="0"/>
        <v>0</v>
      </c>
      <c r="N6" s="276"/>
      <c r="R6" s="15"/>
    </row>
    <row r="7" spans="1:18" x14ac:dyDescent="0.3">
      <c r="B7" s="27" t="s">
        <v>582</v>
      </c>
      <c r="C7" s="381" t="s">
        <v>46</v>
      </c>
      <c r="D7" s="313"/>
      <c r="E7" s="313"/>
      <c r="F7" s="313"/>
      <c r="G7" s="313"/>
      <c r="H7" s="313"/>
      <c r="I7" s="313"/>
      <c r="J7" s="313"/>
      <c r="K7" s="313"/>
      <c r="L7" s="313"/>
      <c r="N7" s="276"/>
    </row>
    <row r="8" spans="1:18" x14ac:dyDescent="0.3">
      <c r="B8" s="27" t="s">
        <v>583</v>
      </c>
      <c r="C8" s="381" t="s">
        <v>47</v>
      </c>
      <c r="D8" s="313"/>
      <c r="E8" s="313"/>
      <c r="F8" s="313"/>
      <c r="G8" s="313"/>
      <c r="H8" s="313"/>
      <c r="I8" s="313"/>
      <c r="J8" s="313"/>
      <c r="K8" s="313"/>
      <c r="L8" s="313"/>
      <c r="N8" s="276"/>
    </row>
    <row r="9" spans="1:18" x14ac:dyDescent="0.3">
      <c r="B9" s="27" t="s">
        <v>584</v>
      </c>
      <c r="C9" s="382" t="s">
        <v>55</v>
      </c>
      <c r="D9" s="356">
        <f>SUM(D6,D7)-D8</f>
        <v>0</v>
      </c>
      <c r="E9" s="356">
        <f>SUM(E6,E7)-E8</f>
        <v>0</v>
      </c>
      <c r="F9" s="356">
        <f t="shared" ref="F9:L9" si="1">SUM(F6,F7)-F8</f>
        <v>0</v>
      </c>
      <c r="G9" s="356">
        <f t="shared" si="1"/>
        <v>0</v>
      </c>
      <c r="H9" s="356">
        <f t="shared" si="1"/>
        <v>0</v>
      </c>
      <c r="I9" s="356">
        <f t="shared" si="1"/>
        <v>0</v>
      </c>
      <c r="J9" s="356">
        <f t="shared" si="1"/>
        <v>0</v>
      </c>
      <c r="K9" s="356">
        <f t="shared" si="1"/>
        <v>0</v>
      </c>
      <c r="L9" s="356">
        <f t="shared" si="1"/>
        <v>0</v>
      </c>
      <c r="N9" s="276"/>
    </row>
    <row r="10" spans="1:18" x14ac:dyDescent="0.3">
      <c r="B10" s="153" t="s">
        <v>579</v>
      </c>
      <c r="C10" s="383" t="s">
        <v>39</v>
      </c>
      <c r="D10" s="196"/>
      <c r="E10" s="196"/>
      <c r="F10" s="196"/>
      <c r="G10" s="196"/>
      <c r="H10" s="196"/>
      <c r="I10" s="196"/>
      <c r="J10" s="196"/>
      <c r="K10" s="196"/>
      <c r="L10" s="196"/>
      <c r="N10" s="269" t="s">
        <v>407</v>
      </c>
    </row>
    <row r="11" spans="1:18" x14ac:dyDescent="0.3">
      <c r="B11" s="27" t="s">
        <v>585</v>
      </c>
      <c r="C11" s="384" t="s">
        <v>48</v>
      </c>
      <c r="D11" s="313"/>
      <c r="E11" s="355">
        <f>D14</f>
        <v>0</v>
      </c>
      <c r="F11" s="355">
        <f t="shared" ref="F11:L11" si="2">E14</f>
        <v>0</v>
      </c>
      <c r="G11" s="355">
        <f t="shared" si="2"/>
        <v>0</v>
      </c>
      <c r="H11" s="355">
        <f t="shared" si="2"/>
        <v>0</v>
      </c>
      <c r="I11" s="355">
        <f t="shared" si="2"/>
        <v>0</v>
      </c>
      <c r="J11" s="355">
        <f t="shared" si="2"/>
        <v>0</v>
      </c>
      <c r="K11" s="355">
        <f t="shared" si="2"/>
        <v>0</v>
      </c>
      <c r="L11" s="355">
        <f t="shared" si="2"/>
        <v>0</v>
      </c>
      <c r="N11" s="276"/>
    </row>
    <row r="12" spans="1:18" x14ac:dyDescent="0.3">
      <c r="B12" s="27" t="s">
        <v>586</v>
      </c>
      <c r="C12" s="385" t="s">
        <v>46</v>
      </c>
      <c r="D12" s="313"/>
      <c r="E12" s="313"/>
      <c r="F12" s="313"/>
      <c r="G12" s="313"/>
      <c r="H12" s="313"/>
      <c r="I12" s="313"/>
      <c r="J12" s="313"/>
      <c r="K12" s="313"/>
      <c r="L12" s="313"/>
      <c r="N12" s="276"/>
      <c r="Q12" s="15"/>
    </row>
    <row r="13" spans="1:18" x14ac:dyDescent="0.3">
      <c r="B13" s="27" t="s">
        <v>587</v>
      </c>
      <c r="C13" s="385" t="s">
        <v>49</v>
      </c>
      <c r="D13" s="313"/>
      <c r="E13" s="313"/>
      <c r="F13" s="313"/>
      <c r="G13" s="313"/>
      <c r="H13" s="313"/>
      <c r="I13" s="313"/>
      <c r="J13" s="313"/>
      <c r="K13" s="313"/>
      <c r="L13" s="313"/>
      <c r="N13" s="276"/>
    </row>
    <row r="14" spans="1:18" x14ac:dyDescent="0.3">
      <c r="B14" s="27" t="s">
        <v>588</v>
      </c>
      <c r="C14" s="384" t="s">
        <v>50</v>
      </c>
      <c r="D14" s="355">
        <f t="shared" ref="D14:L14" si="3">+D11+D12-D13</f>
        <v>0</v>
      </c>
      <c r="E14" s="355">
        <f t="shared" si="3"/>
        <v>0</v>
      </c>
      <c r="F14" s="355">
        <f t="shared" si="3"/>
        <v>0</v>
      </c>
      <c r="G14" s="355">
        <f t="shared" si="3"/>
        <v>0</v>
      </c>
      <c r="H14" s="355">
        <f t="shared" si="3"/>
        <v>0</v>
      </c>
      <c r="I14" s="355">
        <f t="shared" si="3"/>
        <v>0</v>
      </c>
      <c r="J14" s="355">
        <f t="shared" si="3"/>
        <v>0</v>
      </c>
      <c r="K14" s="355">
        <f t="shared" si="3"/>
        <v>0</v>
      </c>
      <c r="L14" s="355">
        <f t="shared" si="3"/>
        <v>0</v>
      </c>
      <c r="N14" s="276"/>
    </row>
    <row r="15" spans="1:18" x14ac:dyDescent="0.3">
      <c r="B15" s="27" t="s">
        <v>589</v>
      </c>
      <c r="C15" s="384" t="s">
        <v>51</v>
      </c>
      <c r="D15" s="313"/>
      <c r="E15" s="355">
        <f>+D18</f>
        <v>0</v>
      </c>
      <c r="F15" s="355">
        <f t="shared" ref="F15:L15" si="4">+E18</f>
        <v>0</v>
      </c>
      <c r="G15" s="355">
        <f t="shared" si="4"/>
        <v>0</v>
      </c>
      <c r="H15" s="355">
        <f t="shared" si="4"/>
        <v>0</v>
      </c>
      <c r="I15" s="355">
        <f t="shared" si="4"/>
        <v>0</v>
      </c>
      <c r="J15" s="355">
        <f t="shared" si="4"/>
        <v>0</v>
      </c>
      <c r="K15" s="355">
        <f t="shared" si="4"/>
        <v>0</v>
      </c>
      <c r="L15" s="355">
        <f t="shared" si="4"/>
        <v>0</v>
      </c>
      <c r="N15" s="276"/>
    </row>
    <row r="16" spans="1:18" x14ac:dyDescent="0.3">
      <c r="B16" s="27" t="s">
        <v>590</v>
      </c>
      <c r="C16" s="385" t="s">
        <v>52</v>
      </c>
      <c r="D16" s="313"/>
      <c r="E16" s="313"/>
      <c r="F16" s="313"/>
      <c r="G16" s="313"/>
      <c r="H16" s="313"/>
      <c r="I16" s="313"/>
      <c r="J16" s="313"/>
      <c r="K16" s="313"/>
      <c r="L16" s="313"/>
      <c r="N16" s="276"/>
    </row>
    <row r="17" spans="2:14" x14ac:dyDescent="0.3">
      <c r="B17" s="27" t="s">
        <v>591</v>
      </c>
      <c r="C17" s="385" t="s">
        <v>53</v>
      </c>
      <c r="D17" s="313"/>
      <c r="E17" s="313"/>
      <c r="F17" s="313"/>
      <c r="G17" s="313"/>
      <c r="H17" s="313"/>
      <c r="I17" s="313"/>
      <c r="J17" s="313"/>
      <c r="K17" s="313"/>
      <c r="L17" s="313"/>
      <c r="N17" s="276"/>
    </row>
    <row r="18" spans="2:14" x14ac:dyDescent="0.3">
      <c r="B18" s="27" t="s">
        <v>592</v>
      </c>
      <c r="C18" s="384" t="s">
        <v>54</v>
      </c>
      <c r="D18" s="355">
        <f>SUM(D15:D17)</f>
        <v>0</v>
      </c>
      <c r="E18" s="355">
        <f t="shared" ref="E18:L18" si="5">SUM(E15:E17)</f>
        <v>0</v>
      </c>
      <c r="F18" s="355">
        <f t="shared" si="5"/>
        <v>0</v>
      </c>
      <c r="G18" s="355">
        <f t="shared" si="5"/>
        <v>0</v>
      </c>
      <c r="H18" s="355">
        <f t="shared" si="5"/>
        <v>0</v>
      </c>
      <c r="I18" s="355">
        <f t="shared" si="5"/>
        <v>0</v>
      </c>
      <c r="J18" s="355">
        <f t="shared" si="5"/>
        <v>0</v>
      </c>
      <c r="K18" s="355">
        <f t="shared" si="5"/>
        <v>0</v>
      </c>
      <c r="L18" s="355">
        <f t="shared" si="5"/>
        <v>0</v>
      </c>
      <c r="N18" s="276"/>
    </row>
    <row r="19" spans="2:14" x14ac:dyDescent="0.3">
      <c r="B19" s="27" t="s">
        <v>593</v>
      </c>
      <c r="C19" s="386" t="s">
        <v>55</v>
      </c>
      <c r="D19" s="355">
        <f>+D14-D18</f>
        <v>0</v>
      </c>
      <c r="E19" s="355">
        <f t="shared" ref="E19:L19" si="6">+E14-E18</f>
        <v>0</v>
      </c>
      <c r="F19" s="355">
        <f t="shared" si="6"/>
        <v>0</v>
      </c>
      <c r="G19" s="355">
        <f t="shared" si="6"/>
        <v>0</v>
      </c>
      <c r="H19" s="355">
        <f t="shared" si="6"/>
        <v>0</v>
      </c>
      <c r="I19" s="355">
        <f t="shared" si="6"/>
        <v>0</v>
      </c>
      <c r="J19" s="355">
        <f t="shared" si="6"/>
        <v>0</v>
      </c>
      <c r="K19" s="355">
        <f t="shared" si="6"/>
        <v>0</v>
      </c>
      <c r="L19" s="355">
        <f t="shared" si="6"/>
        <v>0</v>
      </c>
      <c r="N19" s="276"/>
    </row>
    <row r="20" spans="2:14" x14ac:dyDescent="0.3">
      <c r="B20" s="153" t="s">
        <v>594</v>
      </c>
      <c r="C20" s="196" t="s">
        <v>56</v>
      </c>
      <c r="D20" s="196"/>
      <c r="E20" s="196"/>
      <c r="F20" s="196"/>
      <c r="G20" s="196"/>
      <c r="H20" s="196"/>
      <c r="I20" s="196"/>
      <c r="J20" s="196"/>
      <c r="K20" s="196"/>
      <c r="L20" s="196"/>
      <c r="N20" s="276"/>
    </row>
    <row r="21" spans="2:14" x14ac:dyDescent="0.3">
      <c r="B21" s="27" t="s">
        <v>585</v>
      </c>
      <c r="C21" s="384" t="s">
        <v>48</v>
      </c>
      <c r="D21" s="313"/>
      <c r="E21" s="355">
        <f>D24</f>
        <v>0</v>
      </c>
      <c r="F21" s="355">
        <f t="shared" ref="F21:L21" si="7">E24</f>
        <v>0</v>
      </c>
      <c r="G21" s="355">
        <f t="shared" si="7"/>
        <v>0</v>
      </c>
      <c r="H21" s="355">
        <f t="shared" si="7"/>
        <v>0</v>
      </c>
      <c r="I21" s="355">
        <f t="shared" si="7"/>
        <v>0</v>
      </c>
      <c r="J21" s="355">
        <f t="shared" si="7"/>
        <v>0</v>
      </c>
      <c r="K21" s="355">
        <f t="shared" si="7"/>
        <v>0</v>
      </c>
      <c r="L21" s="355">
        <f t="shared" si="7"/>
        <v>0</v>
      </c>
      <c r="N21" s="276"/>
    </row>
    <row r="22" spans="2:14" x14ac:dyDescent="0.3">
      <c r="B22" s="27" t="s">
        <v>586</v>
      </c>
      <c r="C22" s="385" t="s">
        <v>46</v>
      </c>
      <c r="D22" s="313"/>
      <c r="E22" s="313"/>
      <c r="F22" s="313"/>
      <c r="G22" s="313"/>
      <c r="H22" s="313"/>
      <c r="I22" s="313"/>
      <c r="J22" s="313"/>
      <c r="K22" s="313"/>
      <c r="L22" s="313"/>
      <c r="N22" s="276"/>
    </row>
    <row r="23" spans="2:14" x14ac:dyDescent="0.3">
      <c r="B23" s="27" t="s">
        <v>587</v>
      </c>
      <c r="C23" s="385" t="s">
        <v>49</v>
      </c>
      <c r="D23" s="313"/>
      <c r="E23" s="313"/>
      <c r="F23" s="313"/>
      <c r="G23" s="313"/>
      <c r="H23" s="313"/>
      <c r="I23" s="313"/>
      <c r="J23" s="313"/>
      <c r="K23" s="313"/>
      <c r="L23" s="313"/>
      <c r="N23" s="276"/>
    </row>
    <row r="24" spans="2:14" x14ac:dyDescent="0.3">
      <c r="B24" s="27" t="s">
        <v>588</v>
      </c>
      <c r="C24" s="384" t="s">
        <v>50</v>
      </c>
      <c r="D24" s="355">
        <f>+D21+D22-D23</f>
        <v>0</v>
      </c>
      <c r="E24" s="355">
        <f t="shared" ref="E24:L24" si="8">+E21+E22-E23</f>
        <v>0</v>
      </c>
      <c r="F24" s="355">
        <f t="shared" si="8"/>
        <v>0</v>
      </c>
      <c r="G24" s="355">
        <f t="shared" si="8"/>
        <v>0</v>
      </c>
      <c r="H24" s="355">
        <f t="shared" si="8"/>
        <v>0</v>
      </c>
      <c r="I24" s="355">
        <f t="shared" si="8"/>
        <v>0</v>
      </c>
      <c r="J24" s="355">
        <f t="shared" si="8"/>
        <v>0</v>
      </c>
      <c r="K24" s="355">
        <f t="shared" si="8"/>
        <v>0</v>
      </c>
      <c r="L24" s="355">
        <f t="shared" si="8"/>
        <v>0</v>
      </c>
      <c r="N24" s="276"/>
    </row>
    <row r="25" spans="2:14" x14ac:dyDescent="0.3">
      <c r="B25" s="27" t="s">
        <v>589</v>
      </c>
      <c r="C25" s="384" t="s">
        <v>51</v>
      </c>
      <c r="D25" s="313"/>
      <c r="E25" s="355">
        <f>D28</f>
        <v>0</v>
      </c>
      <c r="F25" s="355">
        <f t="shared" ref="F25:L25" si="9">E28</f>
        <v>0</v>
      </c>
      <c r="G25" s="355">
        <f t="shared" si="9"/>
        <v>0</v>
      </c>
      <c r="H25" s="355">
        <f t="shared" si="9"/>
        <v>0</v>
      </c>
      <c r="I25" s="355">
        <f t="shared" si="9"/>
        <v>0</v>
      </c>
      <c r="J25" s="355">
        <f t="shared" si="9"/>
        <v>0</v>
      </c>
      <c r="K25" s="355">
        <f t="shared" si="9"/>
        <v>0</v>
      </c>
      <c r="L25" s="355">
        <f t="shared" si="9"/>
        <v>0</v>
      </c>
      <c r="N25" s="276"/>
    </row>
    <row r="26" spans="2:14" x14ac:dyDescent="0.3">
      <c r="B26" s="27" t="s">
        <v>590</v>
      </c>
      <c r="C26" s="385" t="s">
        <v>52</v>
      </c>
      <c r="D26" s="313"/>
      <c r="E26" s="313"/>
      <c r="F26" s="313"/>
      <c r="G26" s="313"/>
      <c r="H26" s="313"/>
      <c r="I26" s="313"/>
      <c r="J26" s="313"/>
      <c r="K26" s="313"/>
      <c r="L26" s="313"/>
      <c r="N26" s="276"/>
    </row>
    <row r="27" spans="2:14" x14ac:dyDescent="0.3">
      <c r="B27" s="27" t="s">
        <v>591</v>
      </c>
      <c r="C27" s="385" t="s">
        <v>53</v>
      </c>
      <c r="D27" s="313"/>
      <c r="E27" s="313"/>
      <c r="F27" s="313"/>
      <c r="G27" s="313"/>
      <c r="H27" s="313"/>
      <c r="I27" s="313"/>
      <c r="J27" s="313"/>
      <c r="K27" s="313"/>
      <c r="L27" s="313"/>
      <c r="N27" s="276"/>
    </row>
    <row r="28" spans="2:14" x14ac:dyDescent="0.3">
      <c r="B28" s="27" t="s">
        <v>592</v>
      </c>
      <c r="C28" s="384" t="s">
        <v>54</v>
      </c>
      <c r="D28" s="355">
        <f>SUM(D25:D27)</f>
        <v>0</v>
      </c>
      <c r="E28" s="355">
        <f t="shared" ref="E28:L28" si="10">SUM(E25:E27)</f>
        <v>0</v>
      </c>
      <c r="F28" s="355">
        <f t="shared" si="10"/>
        <v>0</v>
      </c>
      <c r="G28" s="355">
        <f t="shared" si="10"/>
        <v>0</v>
      </c>
      <c r="H28" s="355">
        <f t="shared" si="10"/>
        <v>0</v>
      </c>
      <c r="I28" s="355">
        <f t="shared" si="10"/>
        <v>0</v>
      </c>
      <c r="J28" s="355">
        <f t="shared" si="10"/>
        <v>0</v>
      </c>
      <c r="K28" s="355">
        <f t="shared" si="10"/>
        <v>0</v>
      </c>
      <c r="L28" s="355">
        <f t="shared" si="10"/>
        <v>0</v>
      </c>
      <c r="N28" s="276"/>
    </row>
    <row r="29" spans="2:14" x14ac:dyDescent="0.3">
      <c r="B29" s="27" t="s">
        <v>593</v>
      </c>
      <c r="C29" s="386" t="s">
        <v>55</v>
      </c>
      <c r="D29" s="355">
        <f>+D24-D28</f>
        <v>0</v>
      </c>
      <c r="E29" s="355">
        <f t="shared" ref="E29:L29" si="11">+E24-E28</f>
        <v>0</v>
      </c>
      <c r="F29" s="355">
        <f t="shared" si="11"/>
        <v>0</v>
      </c>
      <c r="G29" s="355">
        <f t="shared" si="11"/>
        <v>0</v>
      </c>
      <c r="H29" s="355">
        <f t="shared" si="11"/>
        <v>0</v>
      </c>
      <c r="I29" s="355">
        <f t="shared" si="11"/>
        <v>0</v>
      </c>
      <c r="J29" s="355">
        <f t="shared" si="11"/>
        <v>0</v>
      </c>
      <c r="K29" s="355">
        <f t="shared" si="11"/>
        <v>0</v>
      </c>
      <c r="L29" s="355">
        <f t="shared" si="11"/>
        <v>0</v>
      </c>
      <c r="N29" s="276"/>
    </row>
    <row r="30" spans="2:14" x14ac:dyDescent="0.3">
      <c r="B30" s="153" t="s">
        <v>595</v>
      </c>
      <c r="C30" s="196" t="s">
        <v>40</v>
      </c>
      <c r="D30" s="196"/>
      <c r="E30" s="196"/>
      <c r="F30" s="196"/>
      <c r="G30" s="196"/>
      <c r="H30" s="196"/>
      <c r="I30" s="196"/>
      <c r="J30" s="196"/>
      <c r="K30" s="196"/>
      <c r="L30" s="196"/>
      <c r="N30" s="276"/>
    </row>
    <row r="31" spans="2:14" x14ac:dyDescent="0.3">
      <c r="B31" s="27" t="s">
        <v>596</v>
      </c>
      <c r="C31" s="384" t="s">
        <v>48</v>
      </c>
      <c r="D31" s="313"/>
      <c r="E31" s="355">
        <f>D34</f>
        <v>0</v>
      </c>
      <c r="F31" s="355">
        <f t="shared" ref="F31:L31" si="12">E34</f>
        <v>0</v>
      </c>
      <c r="G31" s="355">
        <f t="shared" si="12"/>
        <v>0</v>
      </c>
      <c r="H31" s="355">
        <f t="shared" si="12"/>
        <v>0</v>
      </c>
      <c r="I31" s="355">
        <f t="shared" si="12"/>
        <v>0</v>
      </c>
      <c r="J31" s="355">
        <f t="shared" si="12"/>
        <v>0</v>
      </c>
      <c r="K31" s="355">
        <f t="shared" si="12"/>
        <v>0</v>
      </c>
      <c r="L31" s="355">
        <f t="shared" si="12"/>
        <v>0</v>
      </c>
      <c r="N31" s="276"/>
    </row>
    <row r="32" spans="2:14" x14ac:dyDescent="0.3">
      <c r="B32" s="27" t="s">
        <v>597</v>
      </c>
      <c r="C32" s="385" t="s">
        <v>46</v>
      </c>
      <c r="D32" s="313"/>
      <c r="E32" s="313"/>
      <c r="F32" s="313"/>
      <c r="G32" s="313"/>
      <c r="H32" s="313"/>
      <c r="I32" s="313"/>
      <c r="J32" s="313"/>
      <c r="K32" s="313"/>
      <c r="L32" s="313"/>
      <c r="N32" s="276"/>
    </row>
    <row r="33" spans="2:14" x14ac:dyDescent="0.3">
      <c r="B33" s="27" t="s">
        <v>598</v>
      </c>
      <c r="C33" s="385" t="s">
        <v>49</v>
      </c>
      <c r="D33" s="313"/>
      <c r="E33" s="313"/>
      <c r="F33" s="313"/>
      <c r="G33" s="313"/>
      <c r="H33" s="313"/>
      <c r="I33" s="313"/>
      <c r="J33" s="313"/>
      <c r="K33" s="313"/>
      <c r="L33" s="313"/>
      <c r="N33" s="276"/>
    </row>
    <row r="34" spans="2:14" x14ac:dyDescent="0.3">
      <c r="B34" s="27" t="s">
        <v>599</v>
      </c>
      <c r="C34" s="384" t="s">
        <v>50</v>
      </c>
      <c r="D34" s="355">
        <f t="shared" ref="D34:L34" si="13">+D31+D32-D33</f>
        <v>0</v>
      </c>
      <c r="E34" s="355">
        <f t="shared" si="13"/>
        <v>0</v>
      </c>
      <c r="F34" s="355">
        <f t="shared" si="13"/>
        <v>0</v>
      </c>
      <c r="G34" s="355">
        <f t="shared" si="13"/>
        <v>0</v>
      </c>
      <c r="H34" s="355">
        <f t="shared" si="13"/>
        <v>0</v>
      </c>
      <c r="I34" s="355">
        <f t="shared" si="13"/>
        <v>0</v>
      </c>
      <c r="J34" s="355">
        <f t="shared" si="13"/>
        <v>0</v>
      </c>
      <c r="K34" s="355">
        <f t="shared" si="13"/>
        <v>0</v>
      </c>
      <c r="L34" s="355">
        <f t="shared" si="13"/>
        <v>0</v>
      </c>
      <c r="N34" s="276"/>
    </row>
    <row r="35" spans="2:14" x14ac:dyDescent="0.3">
      <c r="B35" s="27" t="s">
        <v>600</v>
      </c>
      <c r="C35" s="384" t="s">
        <v>51</v>
      </c>
      <c r="D35" s="313"/>
      <c r="E35" s="355">
        <f>D38</f>
        <v>0</v>
      </c>
      <c r="F35" s="355">
        <f t="shared" ref="F35:L35" si="14">E38</f>
        <v>0</v>
      </c>
      <c r="G35" s="355">
        <f t="shared" si="14"/>
        <v>0</v>
      </c>
      <c r="H35" s="355">
        <f t="shared" si="14"/>
        <v>0</v>
      </c>
      <c r="I35" s="355">
        <f t="shared" si="14"/>
        <v>0</v>
      </c>
      <c r="J35" s="355">
        <f t="shared" si="14"/>
        <v>0</v>
      </c>
      <c r="K35" s="355">
        <f t="shared" si="14"/>
        <v>0</v>
      </c>
      <c r="L35" s="355">
        <f t="shared" si="14"/>
        <v>0</v>
      </c>
      <c r="N35" s="276"/>
    </row>
    <row r="36" spans="2:14" x14ac:dyDescent="0.3">
      <c r="B36" s="27" t="s">
        <v>601</v>
      </c>
      <c r="C36" s="385" t="s">
        <v>52</v>
      </c>
      <c r="D36" s="313"/>
      <c r="E36" s="313"/>
      <c r="F36" s="313"/>
      <c r="G36" s="313"/>
      <c r="H36" s="313"/>
      <c r="I36" s="313"/>
      <c r="J36" s="313"/>
      <c r="K36" s="313"/>
      <c r="L36" s="313"/>
      <c r="N36" s="276"/>
    </row>
    <row r="37" spans="2:14" x14ac:dyDescent="0.3">
      <c r="B37" s="27" t="s">
        <v>602</v>
      </c>
      <c r="C37" s="385" t="s">
        <v>53</v>
      </c>
      <c r="D37" s="313"/>
      <c r="E37" s="313"/>
      <c r="F37" s="313"/>
      <c r="G37" s="313"/>
      <c r="H37" s="313"/>
      <c r="I37" s="313"/>
      <c r="J37" s="313"/>
      <c r="K37" s="313"/>
      <c r="L37" s="313"/>
      <c r="N37" s="276"/>
    </row>
    <row r="38" spans="2:14" x14ac:dyDescent="0.3">
      <c r="B38" s="27" t="s">
        <v>603</v>
      </c>
      <c r="C38" s="384" t="s">
        <v>54</v>
      </c>
      <c r="D38" s="355">
        <f t="shared" ref="D38:L38" si="15">SUM(D35:D37)</f>
        <v>0</v>
      </c>
      <c r="E38" s="355">
        <f t="shared" si="15"/>
        <v>0</v>
      </c>
      <c r="F38" s="355">
        <f t="shared" si="15"/>
        <v>0</v>
      </c>
      <c r="G38" s="355">
        <f t="shared" si="15"/>
        <v>0</v>
      </c>
      <c r="H38" s="355">
        <f t="shared" si="15"/>
        <v>0</v>
      </c>
      <c r="I38" s="355">
        <f t="shared" si="15"/>
        <v>0</v>
      </c>
      <c r="J38" s="355">
        <f t="shared" si="15"/>
        <v>0</v>
      </c>
      <c r="K38" s="355">
        <f t="shared" si="15"/>
        <v>0</v>
      </c>
      <c r="L38" s="355">
        <f t="shared" si="15"/>
        <v>0</v>
      </c>
      <c r="N38" s="276"/>
    </row>
    <row r="39" spans="2:14" x14ac:dyDescent="0.3">
      <c r="B39" s="27" t="s">
        <v>604</v>
      </c>
      <c r="C39" s="386" t="s">
        <v>55</v>
      </c>
      <c r="D39" s="355">
        <f>+D34-D38</f>
        <v>0</v>
      </c>
      <c r="E39" s="355">
        <f t="shared" ref="E39:L39" si="16">+E34-E38</f>
        <v>0</v>
      </c>
      <c r="F39" s="355">
        <f t="shared" si="16"/>
        <v>0</v>
      </c>
      <c r="G39" s="355">
        <f t="shared" si="16"/>
        <v>0</v>
      </c>
      <c r="H39" s="355">
        <f t="shared" si="16"/>
        <v>0</v>
      </c>
      <c r="I39" s="355">
        <f t="shared" si="16"/>
        <v>0</v>
      </c>
      <c r="J39" s="355">
        <f t="shared" si="16"/>
        <v>0</v>
      </c>
      <c r="K39" s="355">
        <f t="shared" si="16"/>
        <v>0</v>
      </c>
      <c r="L39" s="355">
        <f t="shared" si="16"/>
        <v>0</v>
      </c>
      <c r="N39" s="276"/>
    </row>
    <row r="40" spans="2:14" x14ac:dyDescent="0.3">
      <c r="B40" s="153" t="s">
        <v>605</v>
      </c>
      <c r="C40" s="196" t="s">
        <v>57</v>
      </c>
      <c r="D40" s="196"/>
      <c r="E40" s="196"/>
      <c r="F40" s="196"/>
      <c r="G40" s="196"/>
      <c r="H40" s="196"/>
      <c r="I40" s="196"/>
      <c r="J40" s="196"/>
      <c r="K40" s="196"/>
      <c r="L40" s="196"/>
      <c r="N40" s="276"/>
    </row>
    <row r="41" spans="2:14" x14ac:dyDescent="0.3">
      <c r="B41" s="27" t="s">
        <v>606</v>
      </c>
      <c r="C41" s="384" t="s">
        <v>48</v>
      </c>
      <c r="D41" s="313"/>
      <c r="E41" s="355">
        <f>D44</f>
        <v>0</v>
      </c>
      <c r="F41" s="355">
        <f t="shared" ref="F41:L41" si="17">E44</f>
        <v>0</v>
      </c>
      <c r="G41" s="355">
        <f t="shared" si="17"/>
        <v>0</v>
      </c>
      <c r="H41" s="355">
        <f t="shared" si="17"/>
        <v>0</v>
      </c>
      <c r="I41" s="355">
        <f t="shared" si="17"/>
        <v>0</v>
      </c>
      <c r="J41" s="355">
        <f t="shared" si="17"/>
        <v>0</v>
      </c>
      <c r="K41" s="355">
        <f t="shared" si="17"/>
        <v>0</v>
      </c>
      <c r="L41" s="355">
        <f t="shared" si="17"/>
        <v>0</v>
      </c>
      <c r="N41" s="276"/>
    </row>
    <row r="42" spans="2:14" x14ac:dyDescent="0.3">
      <c r="B42" s="27" t="s">
        <v>607</v>
      </c>
      <c r="C42" s="385" t="s">
        <v>46</v>
      </c>
      <c r="D42" s="313"/>
      <c r="E42" s="313"/>
      <c r="F42" s="313"/>
      <c r="G42" s="313"/>
      <c r="H42" s="313"/>
      <c r="I42" s="313"/>
      <c r="J42" s="313"/>
      <c r="K42" s="313"/>
      <c r="L42" s="313"/>
      <c r="N42" s="276"/>
    </row>
    <row r="43" spans="2:14" x14ac:dyDescent="0.3">
      <c r="B43" s="27" t="s">
        <v>608</v>
      </c>
      <c r="C43" s="385" t="s">
        <v>49</v>
      </c>
      <c r="D43" s="313"/>
      <c r="E43" s="313"/>
      <c r="F43" s="313"/>
      <c r="G43" s="313"/>
      <c r="H43" s="313"/>
      <c r="I43" s="313"/>
      <c r="J43" s="313"/>
      <c r="K43" s="313"/>
      <c r="L43" s="313"/>
      <c r="N43" s="276"/>
    </row>
    <row r="44" spans="2:14" x14ac:dyDescent="0.3">
      <c r="B44" s="27" t="s">
        <v>609</v>
      </c>
      <c r="C44" s="384" t="s">
        <v>50</v>
      </c>
      <c r="D44" s="355">
        <f t="shared" ref="D44:L44" si="18">+D41+D42-D43</f>
        <v>0</v>
      </c>
      <c r="E44" s="355">
        <f t="shared" si="18"/>
        <v>0</v>
      </c>
      <c r="F44" s="355">
        <f t="shared" si="18"/>
        <v>0</v>
      </c>
      <c r="G44" s="355">
        <f t="shared" si="18"/>
        <v>0</v>
      </c>
      <c r="H44" s="355">
        <f t="shared" si="18"/>
        <v>0</v>
      </c>
      <c r="I44" s="355">
        <f t="shared" si="18"/>
        <v>0</v>
      </c>
      <c r="J44" s="355">
        <f t="shared" si="18"/>
        <v>0</v>
      </c>
      <c r="K44" s="355">
        <f t="shared" si="18"/>
        <v>0</v>
      </c>
      <c r="L44" s="355">
        <f t="shared" si="18"/>
        <v>0</v>
      </c>
      <c r="N44" s="276"/>
    </row>
    <row r="45" spans="2:14" x14ac:dyDescent="0.3">
      <c r="B45" s="27" t="s">
        <v>610</v>
      </c>
      <c r="C45" s="384" t="s">
        <v>51</v>
      </c>
      <c r="D45" s="313"/>
      <c r="E45" s="355">
        <f>D48</f>
        <v>0</v>
      </c>
      <c r="F45" s="355">
        <f t="shared" ref="F45:L45" si="19">E48</f>
        <v>0</v>
      </c>
      <c r="G45" s="355">
        <f t="shared" si="19"/>
        <v>0</v>
      </c>
      <c r="H45" s="355">
        <f t="shared" si="19"/>
        <v>0</v>
      </c>
      <c r="I45" s="355">
        <f t="shared" si="19"/>
        <v>0</v>
      </c>
      <c r="J45" s="355">
        <f t="shared" si="19"/>
        <v>0</v>
      </c>
      <c r="K45" s="355">
        <f t="shared" si="19"/>
        <v>0</v>
      </c>
      <c r="L45" s="355">
        <f t="shared" si="19"/>
        <v>0</v>
      </c>
      <c r="N45" s="276"/>
    </row>
    <row r="46" spans="2:14" x14ac:dyDescent="0.3">
      <c r="B46" s="27" t="s">
        <v>611</v>
      </c>
      <c r="C46" s="385" t="s">
        <v>52</v>
      </c>
      <c r="D46" s="313"/>
      <c r="E46" s="313"/>
      <c r="F46" s="313"/>
      <c r="G46" s="313"/>
      <c r="H46" s="313"/>
      <c r="I46" s="313"/>
      <c r="J46" s="313"/>
      <c r="K46" s="313"/>
      <c r="L46" s="313"/>
      <c r="N46" s="276"/>
    </row>
    <row r="47" spans="2:14" x14ac:dyDescent="0.3">
      <c r="B47" s="27" t="s">
        <v>612</v>
      </c>
      <c r="C47" s="385" t="s">
        <v>53</v>
      </c>
      <c r="D47" s="313"/>
      <c r="E47" s="313"/>
      <c r="F47" s="313"/>
      <c r="G47" s="313"/>
      <c r="H47" s="313"/>
      <c r="I47" s="313"/>
      <c r="J47" s="313"/>
      <c r="K47" s="313"/>
      <c r="L47" s="313"/>
      <c r="N47" s="276"/>
    </row>
    <row r="48" spans="2:14" x14ac:dyDescent="0.3">
      <c r="B48" s="27" t="s">
        <v>613</v>
      </c>
      <c r="C48" s="384" t="s">
        <v>54</v>
      </c>
      <c r="D48" s="355">
        <f t="shared" ref="D48:L48" si="20">SUM(D45:D47)</f>
        <v>0</v>
      </c>
      <c r="E48" s="355">
        <f t="shared" si="20"/>
        <v>0</v>
      </c>
      <c r="F48" s="355">
        <f t="shared" si="20"/>
        <v>0</v>
      </c>
      <c r="G48" s="355">
        <f t="shared" si="20"/>
        <v>0</v>
      </c>
      <c r="H48" s="355">
        <f t="shared" si="20"/>
        <v>0</v>
      </c>
      <c r="I48" s="355">
        <f t="shared" si="20"/>
        <v>0</v>
      </c>
      <c r="J48" s="355">
        <f t="shared" si="20"/>
        <v>0</v>
      </c>
      <c r="K48" s="355">
        <f t="shared" si="20"/>
        <v>0</v>
      </c>
      <c r="L48" s="355">
        <f t="shared" si="20"/>
        <v>0</v>
      </c>
      <c r="N48" s="276"/>
    </row>
    <row r="49" spans="2:14" x14ac:dyDescent="0.3">
      <c r="B49" s="27" t="s">
        <v>614</v>
      </c>
      <c r="C49" s="386" t="s">
        <v>55</v>
      </c>
      <c r="D49" s="355">
        <f>+D44-D48</f>
        <v>0</v>
      </c>
      <c r="E49" s="355">
        <f t="shared" ref="E49:L49" si="21">+E44-E48</f>
        <v>0</v>
      </c>
      <c r="F49" s="355">
        <f t="shared" si="21"/>
        <v>0</v>
      </c>
      <c r="G49" s="355">
        <f t="shared" si="21"/>
        <v>0</v>
      </c>
      <c r="H49" s="355">
        <f t="shared" si="21"/>
        <v>0</v>
      </c>
      <c r="I49" s="355">
        <f t="shared" si="21"/>
        <v>0</v>
      </c>
      <c r="J49" s="355">
        <f t="shared" si="21"/>
        <v>0</v>
      </c>
      <c r="K49" s="355">
        <f t="shared" si="21"/>
        <v>0</v>
      </c>
      <c r="L49" s="355">
        <f t="shared" si="21"/>
        <v>0</v>
      </c>
      <c r="N49" s="276"/>
    </row>
    <row r="50" spans="2:14" x14ac:dyDescent="0.3">
      <c r="B50" s="153" t="s">
        <v>615</v>
      </c>
      <c r="C50" s="196" t="s">
        <v>58</v>
      </c>
      <c r="D50" s="196"/>
      <c r="E50" s="196"/>
      <c r="F50" s="196"/>
      <c r="G50" s="196"/>
      <c r="H50" s="196"/>
      <c r="I50" s="196"/>
      <c r="J50" s="196"/>
      <c r="K50" s="196"/>
      <c r="L50" s="196"/>
      <c r="M50" s="16"/>
      <c r="N50" s="276"/>
    </row>
    <row r="51" spans="2:14" x14ac:dyDescent="0.3">
      <c r="B51" s="27" t="s">
        <v>616</v>
      </c>
      <c r="C51" s="384" t="s">
        <v>48</v>
      </c>
      <c r="D51" s="313"/>
      <c r="E51" s="355">
        <f>D54</f>
        <v>0</v>
      </c>
      <c r="F51" s="355">
        <f t="shared" ref="F51:L51" si="22">E54</f>
        <v>0</v>
      </c>
      <c r="G51" s="355">
        <f t="shared" si="22"/>
        <v>0</v>
      </c>
      <c r="H51" s="355">
        <f t="shared" si="22"/>
        <v>0</v>
      </c>
      <c r="I51" s="355">
        <f t="shared" si="22"/>
        <v>0</v>
      </c>
      <c r="J51" s="355">
        <f t="shared" si="22"/>
        <v>0</v>
      </c>
      <c r="K51" s="355">
        <f t="shared" si="22"/>
        <v>0</v>
      </c>
      <c r="L51" s="355">
        <f t="shared" si="22"/>
        <v>0</v>
      </c>
      <c r="N51" s="276"/>
    </row>
    <row r="52" spans="2:14" x14ac:dyDescent="0.3">
      <c r="B52" s="27" t="s">
        <v>617</v>
      </c>
      <c r="C52" s="385" t="s">
        <v>46</v>
      </c>
      <c r="D52" s="313"/>
      <c r="E52" s="313"/>
      <c r="F52" s="313"/>
      <c r="G52" s="313"/>
      <c r="H52" s="313"/>
      <c r="I52" s="313"/>
      <c r="J52" s="313"/>
      <c r="K52" s="313"/>
      <c r="L52" s="313"/>
      <c r="N52" s="276"/>
    </row>
    <row r="53" spans="2:14" x14ac:dyDescent="0.3">
      <c r="B53" s="27" t="s">
        <v>618</v>
      </c>
      <c r="C53" s="385" t="s">
        <v>49</v>
      </c>
      <c r="D53" s="313"/>
      <c r="E53" s="313"/>
      <c r="F53" s="313"/>
      <c r="G53" s="313"/>
      <c r="H53" s="313"/>
      <c r="I53" s="313"/>
      <c r="J53" s="313"/>
      <c r="K53" s="313"/>
      <c r="L53" s="313"/>
      <c r="N53" s="276"/>
    </row>
    <row r="54" spans="2:14" s="28" customFormat="1" x14ac:dyDescent="0.3">
      <c r="B54" s="27" t="s">
        <v>619</v>
      </c>
      <c r="C54" s="384" t="s">
        <v>50</v>
      </c>
      <c r="D54" s="355">
        <f>+D51+D52-D53</f>
        <v>0</v>
      </c>
      <c r="E54" s="355">
        <f t="shared" ref="E54:L54" si="23">+E51+E52-E53</f>
        <v>0</v>
      </c>
      <c r="F54" s="355">
        <f t="shared" si="23"/>
        <v>0</v>
      </c>
      <c r="G54" s="355">
        <f t="shared" si="23"/>
        <v>0</v>
      </c>
      <c r="H54" s="355">
        <f t="shared" si="23"/>
        <v>0</v>
      </c>
      <c r="I54" s="355">
        <f t="shared" si="23"/>
        <v>0</v>
      </c>
      <c r="J54" s="355">
        <f t="shared" si="23"/>
        <v>0</v>
      </c>
      <c r="K54" s="355">
        <f t="shared" si="23"/>
        <v>0</v>
      </c>
      <c r="L54" s="355">
        <f t="shared" si="23"/>
        <v>0</v>
      </c>
      <c r="M54" s="12"/>
      <c r="N54" s="276"/>
    </row>
    <row r="55" spans="2:14" x14ac:dyDescent="0.3">
      <c r="B55" s="27" t="s">
        <v>620</v>
      </c>
      <c r="C55" s="384" t="s">
        <v>51</v>
      </c>
      <c r="D55" s="313"/>
      <c r="E55" s="355">
        <f>D58</f>
        <v>0</v>
      </c>
      <c r="F55" s="355">
        <f t="shared" ref="F55:L55" si="24">E58</f>
        <v>0</v>
      </c>
      <c r="G55" s="355">
        <f t="shared" si="24"/>
        <v>0</v>
      </c>
      <c r="H55" s="355">
        <f t="shared" si="24"/>
        <v>0</v>
      </c>
      <c r="I55" s="355">
        <f t="shared" si="24"/>
        <v>0</v>
      </c>
      <c r="J55" s="355">
        <f t="shared" si="24"/>
        <v>0</v>
      </c>
      <c r="K55" s="355">
        <f t="shared" si="24"/>
        <v>0</v>
      </c>
      <c r="L55" s="355">
        <f t="shared" si="24"/>
        <v>0</v>
      </c>
      <c r="M55" s="16"/>
      <c r="N55" s="276"/>
    </row>
    <row r="56" spans="2:14" x14ac:dyDescent="0.3">
      <c r="B56" s="27" t="s">
        <v>621</v>
      </c>
      <c r="C56" s="385" t="s">
        <v>52</v>
      </c>
      <c r="D56" s="313"/>
      <c r="E56" s="313"/>
      <c r="F56" s="313"/>
      <c r="G56" s="313"/>
      <c r="H56" s="313"/>
      <c r="I56" s="313"/>
      <c r="J56" s="313"/>
      <c r="K56" s="313"/>
      <c r="L56" s="313"/>
      <c r="M56" s="16"/>
      <c r="N56" s="276"/>
    </row>
    <row r="57" spans="2:14" x14ac:dyDescent="0.3">
      <c r="B57" s="27" t="s">
        <v>622</v>
      </c>
      <c r="C57" s="385" t="s">
        <v>53</v>
      </c>
      <c r="D57" s="313"/>
      <c r="E57" s="313"/>
      <c r="F57" s="313"/>
      <c r="G57" s="313"/>
      <c r="H57" s="313"/>
      <c r="I57" s="313"/>
      <c r="J57" s="313"/>
      <c r="K57" s="313"/>
      <c r="L57" s="313"/>
      <c r="M57" s="16"/>
      <c r="N57" s="276"/>
    </row>
    <row r="58" spans="2:14" x14ac:dyDescent="0.3">
      <c r="B58" s="27" t="s">
        <v>623</v>
      </c>
      <c r="C58" s="384" t="s">
        <v>54</v>
      </c>
      <c r="D58" s="355">
        <f t="shared" ref="D58:L58" si="25">SUM(D55:D57)</f>
        <v>0</v>
      </c>
      <c r="E58" s="355">
        <f t="shared" si="25"/>
        <v>0</v>
      </c>
      <c r="F58" s="355">
        <f t="shared" si="25"/>
        <v>0</v>
      </c>
      <c r="G58" s="355">
        <f t="shared" si="25"/>
        <v>0</v>
      </c>
      <c r="H58" s="355">
        <f t="shared" si="25"/>
        <v>0</v>
      </c>
      <c r="I58" s="355">
        <f t="shared" si="25"/>
        <v>0</v>
      </c>
      <c r="J58" s="355">
        <f t="shared" si="25"/>
        <v>0</v>
      </c>
      <c r="K58" s="355">
        <f t="shared" si="25"/>
        <v>0</v>
      </c>
      <c r="L58" s="355">
        <f t="shared" si="25"/>
        <v>0</v>
      </c>
      <c r="M58" s="16"/>
      <c r="N58" s="276"/>
    </row>
    <row r="59" spans="2:14" ht="14.4" thickBot="1" x14ac:dyDescent="0.35">
      <c r="B59" s="27" t="s">
        <v>624</v>
      </c>
      <c r="C59" s="387" t="s">
        <v>55</v>
      </c>
      <c r="D59" s="355">
        <f>+D54-D58</f>
        <v>0</v>
      </c>
      <c r="E59" s="355">
        <f t="shared" ref="E59:L59" si="26">+E54-E58</f>
        <v>0</v>
      </c>
      <c r="F59" s="355">
        <f t="shared" si="26"/>
        <v>0</v>
      </c>
      <c r="G59" s="355">
        <f t="shared" si="26"/>
        <v>0</v>
      </c>
      <c r="H59" s="355">
        <f t="shared" si="26"/>
        <v>0</v>
      </c>
      <c r="I59" s="355">
        <f t="shared" si="26"/>
        <v>0</v>
      </c>
      <c r="J59" s="355">
        <f t="shared" si="26"/>
        <v>0</v>
      </c>
      <c r="K59" s="355">
        <f t="shared" si="26"/>
        <v>0</v>
      </c>
      <c r="L59" s="355">
        <f t="shared" si="26"/>
        <v>0</v>
      </c>
      <c r="M59" s="16"/>
      <c r="N59" s="276"/>
    </row>
    <row r="60" spans="2:14" ht="13.35" customHeight="1" thickTop="1" x14ac:dyDescent="0.3">
      <c r="B60" s="212" t="s">
        <v>625</v>
      </c>
      <c r="C60" s="388" t="s">
        <v>374</v>
      </c>
      <c r="D60" s="154"/>
      <c r="E60" s="154"/>
      <c r="F60" s="154"/>
      <c r="G60" s="154"/>
      <c r="H60" s="154"/>
      <c r="I60" s="154"/>
      <c r="J60" s="154"/>
      <c r="K60" s="154"/>
      <c r="L60" s="154"/>
      <c r="M60" s="16"/>
      <c r="N60" s="276"/>
    </row>
    <row r="61" spans="2:14" ht="13.35" customHeight="1" x14ac:dyDescent="0.3">
      <c r="B61" s="29" t="s">
        <v>626</v>
      </c>
      <c r="C61" s="389" t="s">
        <v>48</v>
      </c>
      <c r="D61" s="179">
        <f t="shared" ref="D61:L69" si="27">SUMIFS(D$5:D$59,$C$5:$C$59,$C61)</f>
        <v>0</v>
      </c>
      <c r="E61" s="179">
        <f t="shared" si="27"/>
        <v>0</v>
      </c>
      <c r="F61" s="179">
        <f t="shared" si="27"/>
        <v>0</v>
      </c>
      <c r="G61" s="179">
        <f t="shared" si="27"/>
        <v>0</v>
      </c>
      <c r="H61" s="179">
        <f t="shared" si="27"/>
        <v>0</v>
      </c>
      <c r="I61" s="179">
        <f t="shared" si="27"/>
        <v>0</v>
      </c>
      <c r="J61" s="179">
        <f t="shared" si="27"/>
        <v>0</v>
      </c>
      <c r="K61" s="179">
        <f t="shared" si="27"/>
        <v>0</v>
      </c>
      <c r="L61" s="179">
        <f t="shared" si="27"/>
        <v>0</v>
      </c>
      <c r="N61" s="276"/>
    </row>
    <row r="62" spans="2:14" ht="13.35" customHeight="1" x14ac:dyDescent="0.3">
      <c r="B62" s="29" t="s">
        <v>627</v>
      </c>
      <c r="C62" s="389" t="s">
        <v>46</v>
      </c>
      <c r="D62" s="179">
        <f>SUMIFS(D$5:D$59,$C$5:$C$59,$C62)</f>
        <v>0</v>
      </c>
      <c r="E62" s="179">
        <f t="shared" si="27"/>
        <v>0</v>
      </c>
      <c r="F62" s="179">
        <f t="shared" si="27"/>
        <v>0</v>
      </c>
      <c r="G62" s="179">
        <f t="shared" si="27"/>
        <v>0</v>
      </c>
      <c r="H62" s="179">
        <f t="shared" si="27"/>
        <v>0</v>
      </c>
      <c r="I62" s="179">
        <f t="shared" si="27"/>
        <v>0</v>
      </c>
      <c r="J62" s="179">
        <f t="shared" si="27"/>
        <v>0</v>
      </c>
      <c r="K62" s="179">
        <f t="shared" si="27"/>
        <v>0</v>
      </c>
      <c r="L62" s="179">
        <f t="shared" si="27"/>
        <v>0</v>
      </c>
      <c r="N62" s="276"/>
    </row>
    <row r="63" spans="2:14" ht="13.35" customHeight="1" x14ac:dyDescent="0.3">
      <c r="B63" s="29" t="s">
        <v>628</v>
      </c>
      <c r="C63" s="389" t="s">
        <v>49</v>
      </c>
      <c r="D63" s="179">
        <f t="shared" si="27"/>
        <v>0</v>
      </c>
      <c r="E63" s="179">
        <f t="shared" si="27"/>
        <v>0</v>
      </c>
      <c r="F63" s="179">
        <f t="shared" si="27"/>
        <v>0</v>
      </c>
      <c r="G63" s="179">
        <f t="shared" si="27"/>
        <v>0</v>
      </c>
      <c r="H63" s="179">
        <f t="shared" si="27"/>
        <v>0</v>
      </c>
      <c r="I63" s="179">
        <f t="shared" si="27"/>
        <v>0</v>
      </c>
      <c r="J63" s="179">
        <f t="shared" si="27"/>
        <v>0</v>
      </c>
      <c r="K63" s="179">
        <f t="shared" si="27"/>
        <v>0</v>
      </c>
      <c r="L63" s="179">
        <f t="shared" si="27"/>
        <v>0</v>
      </c>
      <c r="N63" s="276"/>
    </row>
    <row r="64" spans="2:14" ht="13.35" customHeight="1" x14ac:dyDescent="0.3">
      <c r="B64" s="29" t="s">
        <v>629</v>
      </c>
      <c r="C64" s="389" t="s">
        <v>50</v>
      </c>
      <c r="D64" s="179">
        <f t="shared" si="27"/>
        <v>0</v>
      </c>
      <c r="E64" s="179">
        <f t="shared" si="27"/>
        <v>0</v>
      </c>
      <c r="F64" s="179">
        <f t="shared" si="27"/>
        <v>0</v>
      </c>
      <c r="G64" s="179">
        <f t="shared" si="27"/>
        <v>0</v>
      </c>
      <c r="H64" s="179">
        <f t="shared" si="27"/>
        <v>0</v>
      </c>
      <c r="I64" s="179">
        <f t="shared" si="27"/>
        <v>0</v>
      </c>
      <c r="J64" s="179">
        <f t="shared" si="27"/>
        <v>0</v>
      </c>
      <c r="K64" s="179">
        <f t="shared" si="27"/>
        <v>0</v>
      </c>
      <c r="L64" s="179">
        <f t="shared" si="27"/>
        <v>0</v>
      </c>
      <c r="N64" s="276"/>
    </row>
    <row r="65" spans="2:14" ht="13.35" customHeight="1" x14ac:dyDescent="0.3">
      <c r="B65" s="29" t="s">
        <v>630</v>
      </c>
      <c r="C65" s="389" t="s">
        <v>51</v>
      </c>
      <c r="D65" s="179">
        <f t="shared" si="27"/>
        <v>0</v>
      </c>
      <c r="E65" s="179">
        <f t="shared" si="27"/>
        <v>0</v>
      </c>
      <c r="F65" s="179">
        <f t="shared" si="27"/>
        <v>0</v>
      </c>
      <c r="G65" s="179">
        <f t="shared" si="27"/>
        <v>0</v>
      </c>
      <c r="H65" s="179">
        <f t="shared" si="27"/>
        <v>0</v>
      </c>
      <c r="I65" s="179">
        <f t="shared" si="27"/>
        <v>0</v>
      </c>
      <c r="J65" s="179">
        <f t="shared" si="27"/>
        <v>0</v>
      </c>
      <c r="K65" s="179">
        <f t="shared" si="27"/>
        <v>0</v>
      </c>
      <c r="L65" s="179">
        <f t="shared" si="27"/>
        <v>0</v>
      </c>
      <c r="N65" s="276"/>
    </row>
    <row r="66" spans="2:14" ht="13.35" customHeight="1" x14ac:dyDescent="0.3">
      <c r="B66" s="29" t="s">
        <v>631</v>
      </c>
      <c r="C66" s="389" t="s">
        <v>52</v>
      </c>
      <c r="D66" s="179">
        <f t="shared" si="27"/>
        <v>0</v>
      </c>
      <c r="E66" s="179">
        <f t="shared" si="27"/>
        <v>0</v>
      </c>
      <c r="F66" s="179">
        <f t="shared" si="27"/>
        <v>0</v>
      </c>
      <c r="G66" s="179">
        <f t="shared" si="27"/>
        <v>0</v>
      </c>
      <c r="H66" s="179">
        <f t="shared" si="27"/>
        <v>0</v>
      </c>
      <c r="I66" s="179">
        <f t="shared" si="27"/>
        <v>0</v>
      </c>
      <c r="J66" s="179">
        <f t="shared" si="27"/>
        <v>0</v>
      </c>
      <c r="K66" s="179">
        <f t="shared" si="27"/>
        <v>0</v>
      </c>
      <c r="L66" s="179">
        <f t="shared" si="27"/>
        <v>0</v>
      </c>
      <c r="N66" s="276"/>
    </row>
    <row r="67" spans="2:14" ht="13.35" customHeight="1" x14ac:dyDescent="0.3">
      <c r="B67" s="29" t="s">
        <v>632</v>
      </c>
      <c r="C67" s="389" t="s">
        <v>53</v>
      </c>
      <c r="D67" s="179">
        <f t="shared" si="27"/>
        <v>0</v>
      </c>
      <c r="E67" s="179">
        <f t="shared" si="27"/>
        <v>0</v>
      </c>
      <c r="F67" s="179">
        <f t="shared" si="27"/>
        <v>0</v>
      </c>
      <c r="G67" s="179">
        <f t="shared" si="27"/>
        <v>0</v>
      </c>
      <c r="H67" s="179">
        <f t="shared" si="27"/>
        <v>0</v>
      </c>
      <c r="I67" s="179">
        <f t="shared" si="27"/>
        <v>0</v>
      </c>
      <c r="J67" s="179">
        <f t="shared" si="27"/>
        <v>0</v>
      </c>
      <c r="K67" s="179">
        <f t="shared" si="27"/>
        <v>0</v>
      </c>
      <c r="L67" s="179">
        <f t="shared" si="27"/>
        <v>0</v>
      </c>
      <c r="N67" s="276"/>
    </row>
    <row r="68" spans="2:14" ht="13.35" customHeight="1" x14ac:dyDescent="0.3">
      <c r="B68" s="29" t="s">
        <v>633</v>
      </c>
      <c r="C68" s="389" t="s">
        <v>54</v>
      </c>
      <c r="D68" s="179">
        <f t="shared" si="27"/>
        <v>0</v>
      </c>
      <c r="E68" s="179">
        <f t="shared" si="27"/>
        <v>0</v>
      </c>
      <c r="F68" s="179">
        <f t="shared" si="27"/>
        <v>0</v>
      </c>
      <c r="G68" s="179">
        <f t="shared" si="27"/>
        <v>0</v>
      </c>
      <c r="H68" s="179">
        <f t="shared" si="27"/>
        <v>0</v>
      </c>
      <c r="I68" s="179">
        <f t="shared" si="27"/>
        <v>0</v>
      </c>
      <c r="J68" s="179">
        <f t="shared" si="27"/>
        <v>0</v>
      </c>
      <c r="K68" s="179">
        <f t="shared" si="27"/>
        <v>0</v>
      </c>
      <c r="L68" s="179">
        <f t="shared" si="27"/>
        <v>0</v>
      </c>
      <c r="N68" s="276"/>
    </row>
    <row r="69" spans="2:14" ht="13.35" customHeight="1" thickBot="1" x14ac:dyDescent="0.35">
      <c r="B69" s="30" t="s">
        <v>634</v>
      </c>
      <c r="C69" s="390" t="s">
        <v>55</v>
      </c>
      <c r="D69" s="180">
        <f>SUMIFS(D$5:D$59,$C$5:$C$59,$C69)</f>
        <v>0</v>
      </c>
      <c r="E69" s="180">
        <f>SUMIFS(E$5:E$59,$C$5:$C$59,$C69)</f>
        <v>0</v>
      </c>
      <c r="F69" s="180">
        <f t="shared" si="27"/>
        <v>0</v>
      </c>
      <c r="G69" s="180">
        <f t="shared" si="27"/>
        <v>0</v>
      </c>
      <c r="H69" s="180">
        <f t="shared" si="27"/>
        <v>0</v>
      </c>
      <c r="I69" s="180">
        <f t="shared" si="27"/>
        <v>0</v>
      </c>
      <c r="J69" s="180">
        <f t="shared" si="27"/>
        <v>0</v>
      </c>
      <c r="K69" s="180">
        <f t="shared" si="27"/>
        <v>0</v>
      </c>
      <c r="L69" s="180">
        <f t="shared" si="27"/>
        <v>0</v>
      </c>
      <c r="N69" s="276"/>
    </row>
    <row r="70" spans="2:14" ht="14.4" thickTop="1" x14ac:dyDescent="0.3"/>
  </sheetData>
  <sheetProtection algorithmName="SHA-512" hashValue="Qe1rNEuMF1ORxB77cUUKS3Su6X1fnPWOBpRn80yzIodp2fXwPpOGkOrG5EdpTQ+ABAXLZM4IS48HaGe2vAV4Ww==" saltValue="pASoJF0uy61xRDUZWdlObQ==" spinCount="100000" sheet="1" objects="1" scenarios="1" formatRows="0" insertRows="0"/>
  <mergeCells count="4">
    <mergeCell ref="C1:L1"/>
    <mergeCell ref="B3:B4"/>
    <mergeCell ref="C3:C4"/>
    <mergeCell ref="E3:L3"/>
  </mergeCells>
  <phoneticPr fontId="12" type="noConversion"/>
  <conditionalFormatting sqref="D2:L2">
    <cfRule type="expression" dxfId="71" priority="13">
      <formula>D2&gt;0</formula>
    </cfRule>
    <cfRule type="expression" dxfId="70" priority="14">
      <formula>D2&lt;0</formula>
    </cfRule>
    <cfRule type="expression" dxfId="69" priority="15">
      <formula>D2=0</formula>
    </cfRule>
  </conditionalFormatting>
  <conditionalFormatting sqref="D4:L4">
    <cfRule type="expression" dxfId="68" priority="1">
      <formula>D4="-"</formula>
    </cfRule>
  </conditionalFormatting>
  <conditionalFormatting sqref="D9:L9">
    <cfRule type="cellIs" dxfId="66" priority="16" operator="lessThan">
      <formula>0</formula>
    </cfRule>
    <cfRule type="cellIs" dxfId="65" priority="17" operator="lessThan">
      <formula>0</formula>
    </cfRule>
  </conditionalFormatting>
  <conditionalFormatting sqref="D19:L19">
    <cfRule type="cellIs" dxfId="64" priority="28" operator="lessThan">
      <formula>0</formula>
    </cfRule>
    <cfRule type="cellIs" dxfId="63" priority="29" operator="lessThan">
      <formula>0</formula>
    </cfRule>
  </conditionalFormatting>
  <conditionalFormatting sqref="D29:L29">
    <cfRule type="cellIs" dxfId="62" priority="26" operator="lessThan">
      <formula>0</formula>
    </cfRule>
    <cfRule type="cellIs" dxfId="61" priority="27" operator="lessThan">
      <formula>0</formula>
    </cfRule>
  </conditionalFormatting>
  <conditionalFormatting sqref="D39:L39">
    <cfRule type="cellIs" dxfId="60" priority="24" operator="lessThan">
      <formula>0</formula>
    </cfRule>
    <cfRule type="cellIs" dxfId="59" priority="25" operator="lessThan">
      <formula>0</formula>
    </cfRule>
  </conditionalFormatting>
  <conditionalFormatting sqref="D49:L49">
    <cfRule type="cellIs" dxfId="58" priority="22" operator="lessThan">
      <formula>0</formula>
    </cfRule>
    <cfRule type="cellIs" dxfId="57" priority="23" operator="lessThan">
      <formula>0</formula>
    </cfRule>
  </conditionalFormatting>
  <conditionalFormatting sqref="D59:L59">
    <cfRule type="cellIs" dxfId="56" priority="20" operator="lessThan">
      <formula>0</formula>
    </cfRule>
    <cfRule type="cellIs" dxfId="55" priority="21" operator="lessThan">
      <formula>0</formula>
    </cfRule>
  </conditionalFormatting>
  <conditionalFormatting sqref="N2">
    <cfRule type="expression" dxfId="54" priority="6">
      <formula>ISNUMBER(SEARCH("Klaida", N2))</formula>
    </cfRule>
  </conditionalFormatting>
  <conditionalFormatting sqref="N3">
    <cfRule type="expression" dxfId="53" priority="5">
      <formula>ISNUMBER(SEARCH("Dėmesio", N3))</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6EF78313-A8F6-4E73-B0E7-C99608B411DD}">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apas10">
    <tabColor theme="9" tint="-0.249977111117893"/>
  </sheetPr>
  <dimension ref="A1:Z35"/>
  <sheetViews>
    <sheetView zoomScale="110" zoomScaleNormal="110" workbookViewId="0">
      <selection activeCell="C6" sqref="C6"/>
    </sheetView>
  </sheetViews>
  <sheetFormatPr defaultColWidth="8.6640625" defaultRowHeight="13.8" x14ac:dyDescent="0.3"/>
  <cols>
    <col min="1" max="1" width="6.6640625" style="11" customWidth="1"/>
    <col min="2" max="2" width="27.33203125" style="11" customWidth="1"/>
    <col min="3" max="3" width="10.6640625" style="11" customWidth="1"/>
    <col min="4" max="8" width="10" style="11" customWidth="1"/>
    <col min="9" max="9" width="8.6640625" style="11" customWidth="1"/>
    <col min="10" max="11" width="10" style="11" customWidth="1"/>
    <col min="12" max="12" width="10" style="10" customWidth="1"/>
    <col min="13" max="13" width="33.109375" style="11" customWidth="1"/>
    <col min="14" max="16384" width="8.6640625" style="11"/>
  </cols>
  <sheetData>
    <row r="1" spans="1:13" s="7" customFormat="1" ht="14.4" x14ac:dyDescent="0.3">
      <c r="A1" s="139" t="s">
        <v>34</v>
      </c>
      <c r="B1" s="491" t="s">
        <v>376</v>
      </c>
      <c r="C1" s="491"/>
      <c r="D1" s="491"/>
      <c r="E1" s="491"/>
      <c r="F1" s="491"/>
      <c r="G1" s="491"/>
      <c r="H1" s="491"/>
      <c r="I1" s="491"/>
      <c r="J1" s="491"/>
      <c r="K1" s="491"/>
      <c r="L1" s="6"/>
      <c r="M1" s="275" t="s">
        <v>293</v>
      </c>
    </row>
    <row r="2" spans="1:13" ht="5.0999999999999996" customHeight="1" x14ac:dyDescent="0.3">
      <c r="M2" s="276"/>
    </row>
    <row r="3" spans="1:13" ht="22.8" x14ac:dyDescent="0.3">
      <c r="A3" s="475" t="s">
        <v>22</v>
      </c>
      <c r="B3" s="475" t="s">
        <v>23</v>
      </c>
      <c r="C3" s="131" t="str">
        <f>IF(AND('1'!$C$22="Verslo pradžia",YEAR('1'!$E$22)=YEAR('1'!$C$11)),"Pradžios metai","Ataskaitiniai metai")</f>
        <v>Pradžios metai</v>
      </c>
      <c r="D3" s="464" t="s">
        <v>12</v>
      </c>
      <c r="E3" s="465"/>
      <c r="F3" s="465"/>
      <c r="G3" s="465"/>
      <c r="H3" s="465"/>
      <c r="I3" s="465"/>
      <c r="J3" s="465"/>
      <c r="K3" s="465"/>
      <c r="M3" s="276"/>
    </row>
    <row r="4" spans="1:13" ht="14.4" thickBot="1" x14ac:dyDescent="0.35">
      <c r="A4" s="476"/>
      <c r="B4" s="476"/>
      <c r="C4" s="342">
        <f>IF(C3="Pradžios metai",YEAR('1'!$E$22),IF((YEAR('1'!$C$11)-1)+COUNT(B4:$B4)&gt;YEAR('1'!$C$18)+Parametrai!$C$15,"-",(YEAR('1'!$C$11)-1)+COUNT(B4:$B4)))</f>
        <v>1900</v>
      </c>
      <c r="D4" s="342">
        <f>IF(D3="Pradžios metai",YEAR('1'!$E$22),IF((YEAR('1'!$C$11)-1)+COUNT($B4:C4)&gt;YEAR('1'!$C$18)+Parametrai!$C$15,"-",(YEAR('1'!$C$11)-1)+COUNT($B4:C4)))</f>
        <v>1900</v>
      </c>
      <c r="E4" s="342">
        <f>IF(E3="Pradžios metai",YEAR('1'!$E$22),IF((YEAR('1'!$C$11)-1)+COUNT($B4:D4)&gt;YEAR('1'!$C$18)+Parametrai!$C$15,"-",(YEAR('1'!$C$11)-1)+COUNT($B4:D4)))</f>
        <v>1901</v>
      </c>
      <c r="F4" s="342">
        <f>IF(F3="Pradžios metai",YEAR('1'!$E$22),IF((YEAR('1'!$C$11)-1)+COUNT($B4:E4)&gt;YEAR('1'!$C$18)+Parametrai!$C$15,"-",(YEAR('1'!$C$11)-1)+COUNT($B4:E4)))</f>
        <v>1902</v>
      </c>
      <c r="G4" s="342">
        <f>IF(G3="Pradžios metai",YEAR('1'!$E$22),IF((YEAR('1'!$C$11)-1)+COUNT($B4:F4)&gt;YEAR('1'!$C$18)+Parametrai!$C$15,"-",(YEAR('1'!$C$11)-1)+COUNT($B4:F4)))</f>
        <v>1903</v>
      </c>
      <c r="H4" s="342" t="str">
        <f>IF(H3="Pradžios metai",YEAR('1'!$E$22),IF((YEAR('1'!$C$11)-1)+COUNT($B4:G4)&gt;YEAR('1'!$C$18)+Parametrai!$C$15,"-",(YEAR('1'!$C$11)-1)+COUNT($B4:G4)))</f>
        <v>-</v>
      </c>
      <c r="I4" s="342" t="str">
        <f>IF(I3="Pradžios metai",YEAR('1'!$E$22),IF((YEAR('1'!$C$11)-1)+COUNT($B4:H4)&gt;YEAR('1'!$C$18)+Parametrai!$C$15,"-",(YEAR('1'!$C$11)-1)+COUNT($B4:H4)))</f>
        <v>-</v>
      </c>
      <c r="J4" s="342" t="str">
        <f>IF(J3="Pradžios metai",YEAR('1'!$E$22),IF((YEAR('1'!$C$11)-1)+COUNT($B4:I4)&gt;YEAR('1'!$C$18)+Parametrai!$C$15,"-",(YEAR('1'!$C$11)-1)+COUNT($B4:I4)))</f>
        <v>-</v>
      </c>
      <c r="K4" s="342" t="str">
        <f>IF(K3="Pradžios metai",YEAR('1'!$E$22),IF((YEAR('1'!$C$11)-1)+COUNT($B4:J4)&gt;YEAR('1'!$C$18)+Parametrai!$C$15,"-",(YEAR('1'!$C$11)-1)+COUNT($B4:J4)))</f>
        <v>-</v>
      </c>
      <c r="M4" s="276"/>
    </row>
    <row r="5" spans="1:13" s="20" customFormat="1" ht="12.6" thickTop="1" x14ac:dyDescent="0.3">
      <c r="A5" s="155" t="s">
        <v>375</v>
      </c>
      <c r="B5" s="156" t="s">
        <v>24</v>
      </c>
      <c r="C5" s="157"/>
      <c r="D5" s="157"/>
      <c r="E5" s="157"/>
      <c r="F5" s="157"/>
      <c r="G5" s="157"/>
      <c r="H5" s="157"/>
      <c r="I5" s="157"/>
      <c r="J5" s="157"/>
      <c r="K5" s="157"/>
      <c r="L5" s="19"/>
      <c r="M5" s="276"/>
    </row>
    <row r="6" spans="1:13" s="20" customFormat="1" ht="12" x14ac:dyDescent="0.3">
      <c r="A6" s="21" t="s">
        <v>635</v>
      </c>
      <c r="B6" s="22" t="s">
        <v>25</v>
      </c>
      <c r="C6" s="346">
        <f>+'2-3'!C13-C16-C24</f>
        <v>0</v>
      </c>
      <c r="D6" s="346">
        <f>+'2-3'!D13-D16-D24</f>
        <v>0</v>
      </c>
      <c r="E6" s="346">
        <f>+'2-3'!E13-E16-E24</f>
        <v>0</v>
      </c>
      <c r="F6" s="346">
        <f>+'2-3'!F13-F16-F24</f>
        <v>0</v>
      </c>
      <c r="G6" s="346">
        <f>+'2-3'!G13-G16-G24</f>
        <v>0</v>
      </c>
      <c r="H6" s="346">
        <f>+'2-3'!H13-H16-H24</f>
        <v>0</v>
      </c>
      <c r="I6" s="346">
        <f>+'2-3'!I13-I16-I24</f>
        <v>0</v>
      </c>
      <c r="J6" s="346">
        <f>+'2-3'!J13-J16-J24</f>
        <v>0</v>
      </c>
      <c r="K6" s="346">
        <f>+'2-3'!K13-K16-K24</f>
        <v>0</v>
      </c>
      <c r="L6" s="19"/>
      <c r="M6" s="269" t="s">
        <v>959</v>
      </c>
    </row>
    <row r="7" spans="1:13" s="20" customFormat="1" ht="12" x14ac:dyDescent="0.3">
      <c r="A7" s="21" t="s">
        <v>636</v>
      </c>
      <c r="B7" s="314"/>
      <c r="C7" s="315"/>
      <c r="D7" s="306"/>
      <c r="E7" s="306"/>
      <c r="F7" s="306"/>
      <c r="G7" s="306"/>
      <c r="H7" s="306"/>
      <c r="I7" s="306"/>
      <c r="J7" s="306"/>
      <c r="K7" s="306"/>
      <c r="L7" s="19"/>
      <c r="M7" s="276"/>
    </row>
    <row r="8" spans="1:13" s="20" customFormat="1" ht="12" x14ac:dyDescent="0.3">
      <c r="A8" s="21" t="s">
        <v>637</v>
      </c>
      <c r="B8" s="314"/>
      <c r="C8" s="315"/>
      <c r="D8" s="306"/>
      <c r="E8" s="306"/>
      <c r="F8" s="306"/>
      <c r="G8" s="306"/>
      <c r="H8" s="306"/>
      <c r="I8" s="306"/>
      <c r="J8" s="306"/>
      <c r="K8" s="306"/>
      <c r="L8" s="19"/>
      <c r="M8" s="276"/>
    </row>
    <row r="9" spans="1:13" s="20" customFormat="1" ht="12" x14ac:dyDescent="0.3">
      <c r="A9" s="21" t="s">
        <v>638</v>
      </c>
      <c r="B9" s="314"/>
      <c r="C9" s="315"/>
      <c r="D9" s="306"/>
      <c r="E9" s="306"/>
      <c r="F9" s="306"/>
      <c r="G9" s="306"/>
      <c r="H9" s="306"/>
      <c r="I9" s="306"/>
      <c r="J9" s="306"/>
      <c r="K9" s="306"/>
      <c r="L9" s="19"/>
      <c r="M9" s="276"/>
    </row>
    <row r="10" spans="1:13" s="20" customFormat="1" ht="12" x14ac:dyDescent="0.3">
      <c r="A10" s="21" t="s">
        <v>639</v>
      </c>
      <c r="B10" s="314"/>
      <c r="C10" s="315"/>
      <c r="D10" s="306"/>
      <c r="E10" s="306"/>
      <c r="F10" s="306"/>
      <c r="G10" s="306"/>
      <c r="H10" s="306"/>
      <c r="I10" s="306"/>
      <c r="J10" s="306"/>
      <c r="K10" s="306"/>
      <c r="L10" s="19"/>
      <c r="M10" s="276"/>
    </row>
    <row r="11" spans="1:13" s="20" customFormat="1" ht="12" x14ac:dyDescent="0.3">
      <c r="A11" s="21" t="s">
        <v>640</v>
      </c>
      <c r="B11" s="314"/>
      <c r="C11" s="315"/>
      <c r="D11" s="306"/>
      <c r="E11" s="306"/>
      <c r="F11" s="306"/>
      <c r="G11" s="306"/>
      <c r="H11" s="306"/>
      <c r="I11" s="306"/>
      <c r="J11" s="306"/>
      <c r="K11" s="306"/>
      <c r="L11" s="19"/>
      <c r="M11" s="276"/>
    </row>
    <row r="12" spans="1:13" s="20" customFormat="1" ht="24" x14ac:dyDescent="0.3">
      <c r="A12" s="21" t="s">
        <v>641</v>
      </c>
      <c r="B12" s="22" t="s">
        <v>26</v>
      </c>
      <c r="C12" s="346">
        <f>'6'!D66-C23</f>
        <v>0</v>
      </c>
      <c r="D12" s="346">
        <f>'6'!E66-D23</f>
        <v>0</v>
      </c>
      <c r="E12" s="346">
        <f>'6'!F66-E23</f>
        <v>0</v>
      </c>
      <c r="F12" s="346">
        <f>'6'!G66-F23</f>
        <v>0</v>
      </c>
      <c r="G12" s="346">
        <f>'6'!H66-G23</f>
        <v>0</v>
      </c>
      <c r="H12" s="346">
        <f>'6'!I66-H23</f>
        <v>0</v>
      </c>
      <c r="I12" s="346">
        <f>'6'!J66-I23</f>
        <v>0</v>
      </c>
      <c r="J12" s="346">
        <f>'6'!K66-J23</f>
        <v>0</v>
      </c>
      <c r="K12" s="346">
        <f>'6'!L66-K23</f>
        <v>0</v>
      </c>
      <c r="L12" s="19"/>
      <c r="M12" s="269" t="s">
        <v>960</v>
      </c>
    </row>
    <row r="13" spans="1:13" s="20" customFormat="1" ht="24" x14ac:dyDescent="0.3">
      <c r="A13" s="21" t="s">
        <v>642</v>
      </c>
      <c r="B13" s="22" t="s">
        <v>27</v>
      </c>
      <c r="C13" s="316"/>
      <c r="D13" s="316"/>
      <c r="E13" s="316"/>
      <c r="F13" s="316"/>
      <c r="G13" s="316"/>
      <c r="H13" s="316"/>
      <c r="I13" s="316"/>
      <c r="J13" s="316"/>
      <c r="K13" s="316"/>
      <c r="L13" s="19"/>
      <c r="M13" s="269"/>
    </row>
    <row r="14" spans="1:13" s="20" customFormat="1" ht="12.6" thickBot="1" x14ac:dyDescent="0.35">
      <c r="A14" s="105" t="s">
        <v>643</v>
      </c>
      <c r="B14" s="197" t="s">
        <v>28</v>
      </c>
      <c r="C14" s="357">
        <f>ROUND(SUM(C6:C13),0)</f>
        <v>0</v>
      </c>
      <c r="D14" s="357">
        <f>ROUND(SUM(D6:D13),0)</f>
        <v>0</v>
      </c>
      <c r="E14" s="357">
        <f t="shared" ref="E14:K14" si="0">ROUND(SUM(E6:E13),0)</f>
        <v>0</v>
      </c>
      <c r="F14" s="357">
        <f t="shared" si="0"/>
        <v>0</v>
      </c>
      <c r="G14" s="357">
        <f t="shared" si="0"/>
        <v>0</v>
      </c>
      <c r="H14" s="357">
        <f t="shared" si="0"/>
        <v>0</v>
      </c>
      <c r="I14" s="357">
        <f t="shared" si="0"/>
        <v>0</v>
      </c>
      <c r="J14" s="357">
        <f t="shared" si="0"/>
        <v>0</v>
      </c>
      <c r="K14" s="357">
        <f t="shared" si="0"/>
        <v>0</v>
      </c>
      <c r="L14" s="19"/>
      <c r="M14" s="276"/>
    </row>
    <row r="15" spans="1:13" s="20" customFormat="1" ht="12.6" thickTop="1" x14ac:dyDescent="0.3">
      <c r="A15" s="155" t="s">
        <v>644</v>
      </c>
      <c r="B15" s="158" t="s">
        <v>29</v>
      </c>
      <c r="C15" s="159"/>
      <c r="D15" s="159"/>
      <c r="E15" s="159"/>
      <c r="F15" s="159"/>
      <c r="G15" s="159"/>
      <c r="H15" s="159"/>
      <c r="I15" s="159"/>
      <c r="J15" s="159"/>
      <c r="K15" s="159"/>
      <c r="L15" s="19"/>
      <c r="M15" s="276"/>
    </row>
    <row r="16" spans="1:13" s="20" customFormat="1" ht="12" x14ac:dyDescent="0.3">
      <c r="A16" s="21" t="s">
        <v>645</v>
      </c>
      <c r="B16" s="22" t="s">
        <v>25</v>
      </c>
      <c r="C16" s="306"/>
      <c r="D16" s="306"/>
      <c r="E16" s="306"/>
      <c r="F16" s="306"/>
      <c r="G16" s="306"/>
      <c r="H16" s="306"/>
      <c r="I16" s="306"/>
      <c r="J16" s="306"/>
      <c r="K16" s="306"/>
      <c r="L16" s="19"/>
      <c r="M16" s="269" t="s">
        <v>408</v>
      </c>
    </row>
    <row r="17" spans="1:26" s="20" customFormat="1" ht="12" x14ac:dyDescent="0.3">
      <c r="A17" s="21" t="s">
        <v>646</v>
      </c>
      <c r="B17" s="314"/>
      <c r="C17" s="306"/>
      <c r="D17" s="306"/>
      <c r="E17" s="306"/>
      <c r="F17" s="306"/>
      <c r="G17" s="306"/>
      <c r="H17" s="306"/>
      <c r="I17" s="306"/>
      <c r="J17" s="306"/>
      <c r="K17" s="306"/>
      <c r="L17" s="19"/>
      <c r="M17" s="276"/>
    </row>
    <row r="18" spans="1:26" s="20" customFormat="1" ht="12" x14ac:dyDescent="0.3">
      <c r="A18" s="21" t="s">
        <v>647</v>
      </c>
      <c r="B18" s="314"/>
      <c r="C18" s="306"/>
      <c r="D18" s="306"/>
      <c r="E18" s="306"/>
      <c r="F18" s="306"/>
      <c r="G18" s="306"/>
      <c r="H18" s="306"/>
      <c r="I18" s="306"/>
      <c r="J18" s="306"/>
      <c r="K18" s="306"/>
      <c r="L18" s="19"/>
      <c r="M18" s="276"/>
    </row>
    <row r="19" spans="1:26" s="20" customFormat="1" ht="12" x14ac:dyDescent="0.3">
      <c r="A19" s="21" t="s">
        <v>648</v>
      </c>
      <c r="B19" s="314"/>
      <c r="C19" s="306"/>
      <c r="D19" s="306"/>
      <c r="E19" s="306"/>
      <c r="F19" s="306"/>
      <c r="G19" s="306"/>
      <c r="H19" s="306"/>
      <c r="I19" s="306"/>
      <c r="J19" s="306"/>
      <c r="K19" s="306"/>
      <c r="L19" s="19"/>
      <c r="M19" s="276"/>
    </row>
    <row r="20" spans="1:26" s="20" customFormat="1" ht="12" x14ac:dyDescent="0.3">
      <c r="A20" s="21" t="s">
        <v>649</v>
      </c>
      <c r="B20" s="314"/>
      <c r="C20" s="317"/>
      <c r="D20" s="317"/>
      <c r="E20" s="317"/>
      <c r="F20" s="317"/>
      <c r="G20" s="317"/>
      <c r="H20" s="317"/>
      <c r="I20" s="317"/>
      <c r="J20" s="317"/>
      <c r="K20" s="317"/>
      <c r="L20" s="19"/>
      <c r="M20" s="276"/>
    </row>
    <row r="21" spans="1:26" s="20" customFormat="1" ht="12.6" thickBot="1" x14ac:dyDescent="0.35">
      <c r="A21" s="105" t="s">
        <v>650</v>
      </c>
      <c r="B21" s="197" t="s">
        <v>30</v>
      </c>
      <c r="C21" s="357">
        <f>ROUND(SUM(C16:C20),0)</f>
        <v>0</v>
      </c>
      <c r="D21" s="357">
        <f t="shared" ref="D21:K21" si="1">ROUND(SUM(D16:D20),0)</f>
        <v>0</v>
      </c>
      <c r="E21" s="357">
        <f t="shared" si="1"/>
        <v>0</v>
      </c>
      <c r="F21" s="357">
        <f t="shared" si="1"/>
        <v>0</v>
      </c>
      <c r="G21" s="357">
        <f t="shared" si="1"/>
        <v>0</v>
      </c>
      <c r="H21" s="357">
        <f t="shared" si="1"/>
        <v>0</v>
      </c>
      <c r="I21" s="357">
        <f t="shared" si="1"/>
        <v>0</v>
      </c>
      <c r="J21" s="357">
        <f t="shared" si="1"/>
        <v>0</v>
      </c>
      <c r="K21" s="357">
        <f t="shared" si="1"/>
        <v>0</v>
      </c>
      <c r="L21" s="19"/>
      <c r="M21" s="276"/>
    </row>
    <row r="22" spans="1:26" s="20" customFormat="1" ht="24" customHeight="1" thickTop="1" x14ac:dyDescent="0.3">
      <c r="A22" s="155" t="s">
        <v>651</v>
      </c>
      <c r="B22" s="158" t="s">
        <v>31</v>
      </c>
      <c r="C22" s="159"/>
      <c r="D22" s="159"/>
      <c r="E22" s="159"/>
      <c r="F22" s="159"/>
      <c r="G22" s="159"/>
      <c r="H22" s="159"/>
      <c r="I22" s="159"/>
      <c r="J22" s="159"/>
      <c r="K22" s="159"/>
      <c r="L22" s="19"/>
      <c r="M22" s="276"/>
    </row>
    <row r="23" spans="1:26" s="20" customFormat="1" ht="24" x14ac:dyDescent="0.3">
      <c r="A23" s="21" t="s">
        <v>652</v>
      </c>
      <c r="B23" s="22" t="s">
        <v>32</v>
      </c>
      <c r="C23" s="306"/>
      <c r="D23" s="306"/>
      <c r="E23" s="306"/>
      <c r="F23" s="306"/>
      <c r="G23" s="306"/>
      <c r="H23" s="306"/>
      <c r="I23" s="306"/>
      <c r="J23" s="306"/>
      <c r="K23" s="306"/>
      <c r="L23" s="19"/>
      <c r="M23" s="276"/>
    </row>
    <row r="24" spans="1:26" s="20" customFormat="1" ht="12" x14ac:dyDescent="0.3">
      <c r="A24" s="21" t="s">
        <v>653</v>
      </c>
      <c r="B24" s="22" t="s">
        <v>25</v>
      </c>
      <c r="C24" s="306"/>
      <c r="D24" s="306"/>
      <c r="E24" s="306"/>
      <c r="F24" s="306"/>
      <c r="G24" s="306"/>
      <c r="H24" s="306"/>
      <c r="I24" s="306"/>
      <c r="J24" s="306"/>
      <c r="K24" s="306"/>
      <c r="L24" s="19"/>
      <c r="M24" s="269" t="s">
        <v>409</v>
      </c>
    </row>
    <row r="25" spans="1:26" s="20" customFormat="1" ht="12" x14ac:dyDescent="0.3">
      <c r="A25" s="21" t="s">
        <v>654</v>
      </c>
      <c r="B25" s="314"/>
      <c r="C25" s="306"/>
      <c r="D25" s="306"/>
      <c r="E25" s="306"/>
      <c r="F25" s="306"/>
      <c r="G25" s="306"/>
      <c r="H25" s="306"/>
      <c r="I25" s="306"/>
      <c r="J25" s="306"/>
      <c r="K25" s="306"/>
      <c r="L25" s="19"/>
      <c r="M25" s="276"/>
      <c r="Z25" s="23"/>
    </row>
    <row r="26" spans="1:26" s="20" customFormat="1" ht="12" x14ac:dyDescent="0.3">
      <c r="A26" s="21" t="s">
        <v>655</v>
      </c>
      <c r="B26" s="314"/>
      <c r="C26" s="306"/>
      <c r="D26" s="306"/>
      <c r="E26" s="306"/>
      <c r="F26" s="306"/>
      <c r="G26" s="306"/>
      <c r="H26" s="306"/>
      <c r="I26" s="306"/>
      <c r="J26" s="306"/>
      <c r="K26" s="306"/>
      <c r="L26" s="19"/>
      <c r="M26" s="276"/>
    </row>
    <row r="27" spans="1:26" s="20" customFormat="1" ht="12" x14ac:dyDescent="0.3">
      <c r="A27" s="21" t="s">
        <v>656</v>
      </c>
      <c r="B27" s="314"/>
      <c r="C27" s="306"/>
      <c r="D27" s="306"/>
      <c r="E27" s="306"/>
      <c r="F27" s="306"/>
      <c r="G27" s="306"/>
      <c r="H27" s="306"/>
      <c r="I27" s="306"/>
      <c r="J27" s="306"/>
      <c r="K27" s="306"/>
      <c r="L27" s="19"/>
      <c r="M27" s="276"/>
    </row>
    <row r="28" spans="1:26" s="20" customFormat="1" ht="12" x14ac:dyDescent="0.3">
      <c r="A28" s="21" t="s">
        <v>657</v>
      </c>
      <c r="B28" s="314"/>
      <c r="C28" s="306"/>
      <c r="D28" s="306"/>
      <c r="E28" s="306"/>
      <c r="F28" s="306"/>
      <c r="G28" s="306"/>
      <c r="H28" s="306"/>
      <c r="I28" s="306"/>
      <c r="J28" s="306"/>
      <c r="K28" s="306"/>
      <c r="L28" s="19"/>
      <c r="M28" s="276"/>
    </row>
    <row r="29" spans="1:26" s="20" customFormat="1" ht="24.6" customHeight="1" thickBot="1" x14ac:dyDescent="0.35">
      <c r="A29" s="105" t="s">
        <v>658</v>
      </c>
      <c r="B29" s="197" t="s">
        <v>33</v>
      </c>
      <c r="C29" s="357">
        <f>ROUND(SUM(C23:C28),0)</f>
        <v>0</v>
      </c>
      <c r="D29" s="357">
        <f t="shared" ref="D29:K29" si="2">ROUND(SUM(D23:D28),0)</f>
        <v>0</v>
      </c>
      <c r="E29" s="357">
        <f t="shared" si="2"/>
        <v>0</v>
      </c>
      <c r="F29" s="357">
        <f t="shared" si="2"/>
        <v>0</v>
      </c>
      <c r="G29" s="357">
        <f t="shared" si="2"/>
        <v>0</v>
      </c>
      <c r="H29" s="357">
        <f t="shared" si="2"/>
        <v>0</v>
      </c>
      <c r="I29" s="357">
        <f t="shared" si="2"/>
        <v>0</v>
      </c>
      <c r="J29" s="357">
        <f t="shared" si="2"/>
        <v>0</v>
      </c>
      <c r="K29" s="357">
        <f t="shared" si="2"/>
        <v>0</v>
      </c>
      <c r="L29" s="19"/>
      <c r="M29" s="276"/>
    </row>
    <row r="30" spans="1:26" ht="23.4" thickTop="1" x14ac:dyDescent="0.3">
      <c r="A30" s="155" t="s">
        <v>918</v>
      </c>
      <c r="B30" s="158" t="s">
        <v>923</v>
      </c>
      <c r="C30" s="159"/>
      <c r="D30" s="159"/>
      <c r="E30" s="159"/>
      <c r="F30" s="159"/>
      <c r="G30" s="159"/>
      <c r="H30" s="159"/>
      <c r="I30" s="159"/>
      <c r="J30" s="159"/>
      <c r="K30" s="159"/>
      <c r="M30" s="276"/>
    </row>
    <row r="31" spans="1:26" x14ac:dyDescent="0.3">
      <c r="A31" s="21" t="s">
        <v>919</v>
      </c>
      <c r="B31" s="13" t="s">
        <v>544</v>
      </c>
      <c r="C31" s="346">
        <f>'8'!D25+'8'!D35</f>
        <v>0</v>
      </c>
      <c r="D31" s="346">
        <f>'8'!E25+'8'!E35</f>
        <v>0</v>
      </c>
      <c r="E31" s="346">
        <f>'8'!F25+'8'!F35</f>
        <v>0</v>
      </c>
      <c r="F31" s="346">
        <f>'8'!G25+'8'!G35</f>
        <v>0</v>
      </c>
      <c r="G31" s="346">
        <f>'8'!J25+'8'!J35</f>
        <v>0</v>
      </c>
      <c r="H31" s="346">
        <f>'8'!K25+'8'!K35</f>
        <v>0</v>
      </c>
      <c r="I31" s="346">
        <f>'8'!L25+'8'!L35</f>
        <v>0</v>
      </c>
      <c r="J31" s="346">
        <f>'8'!M25+'8'!M35</f>
        <v>0</v>
      </c>
      <c r="K31" s="346">
        <f>'8'!N25+'8'!N35</f>
        <v>0</v>
      </c>
      <c r="M31" s="276"/>
    </row>
    <row r="32" spans="1:26" x14ac:dyDescent="0.3">
      <c r="A32" s="273" t="str">
        <f>IF(Parametrai!$C$9="Asociacijos ir viešosios įstaigos","7.5.","")</f>
        <v/>
      </c>
      <c r="B32" s="273" t="str">
        <f>IF(Parametrai!$C$9="Asociacijos ir viešosios įstaigos","Veiklos sąnaudos iš viso","")</f>
        <v/>
      </c>
      <c r="C32" s="274" t="str">
        <f>IF(Parametrai!$C$9="Asociacijos ir viešosios įstaigos",SUM(C21,C29,C31),"")</f>
        <v/>
      </c>
      <c r="D32" s="274" t="str">
        <f>IF(Parametrai!$C$9="Asociacijos ir viešosios įstaigos",SUM(D21,D29,D31),"")</f>
        <v/>
      </c>
      <c r="E32" s="274" t="str">
        <f>IF(Parametrai!$C$9="Asociacijos ir viešosios įstaigos",SUM(E21,E29,E31),"")</f>
        <v/>
      </c>
      <c r="F32" s="274"/>
      <c r="G32" s="274"/>
      <c r="H32" s="274"/>
      <c r="I32" s="274"/>
      <c r="J32" s="274" t="str">
        <f>IF(Parametrai!$C$9="Asociacijos ir viešosios įstaigos",SUM(J21,J29,J31),"")</f>
        <v/>
      </c>
      <c r="K32" s="274" t="str">
        <f>IF(Parametrai!$C$9="Asociacijos ir viešosios įstaigos",SUM(K21,K29,K31),"")</f>
        <v/>
      </c>
      <c r="M32" s="276"/>
    </row>
    <row r="33" spans="1:11" x14ac:dyDescent="0.3">
      <c r="A33" s="20"/>
      <c r="B33" s="20"/>
      <c r="C33" s="20"/>
      <c r="D33" s="20"/>
      <c r="E33" s="20"/>
      <c r="F33" s="20"/>
      <c r="G33" s="20"/>
      <c r="H33" s="20"/>
      <c r="I33" s="20"/>
      <c r="J33" s="20"/>
      <c r="K33" s="20"/>
    </row>
    <row r="34" spans="1:11" x14ac:dyDescent="0.3">
      <c r="C34" s="266"/>
    </row>
    <row r="35" spans="1:11" x14ac:dyDescent="0.3">
      <c r="C35" s="266"/>
    </row>
  </sheetData>
  <sheetProtection algorithmName="SHA-512" hashValue="XwIdIU0amLfBli0hzcltnzOoHFuvTz+xRkd10XwYldsWuH9G3nx6t38pN/MxC0vqpznPfCCDS1+SXfU6H2ziZw==" saltValue="Bv0j87/SGQQc+Gpd9nRRcQ==" spinCount="100000" sheet="1" objects="1" scenarios="1" formatRows="0" insertRows="0"/>
  <mergeCells count="4">
    <mergeCell ref="B1:K1"/>
    <mergeCell ref="A3:A4"/>
    <mergeCell ref="B3:B4"/>
    <mergeCell ref="D3:K3"/>
  </mergeCells>
  <phoneticPr fontId="12" type="noConversion"/>
  <conditionalFormatting sqref="A32:K32">
    <cfRule type="expression" dxfId="52" priority="2">
      <formula>$A$32&lt;&gt;""</formula>
    </cfRule>
  </conditionalFormatting>
  <conditionalFormatting sqref="C4:K4">
    <cfRule type="expression" dxfId="51" priority="4">
      <formula>C4="-"</formula>
    </cfRule>
  </conditionalFormatting>
  <conditionalFormatting sqref="C6:K6">
    <cfRule type="cellIs" dxfId="49" priority="9" operator="lessThan">
      <formula>0</formula>
    </cfRule>
  </conditionalFormatting>
  <conditionalFormatting sqref="C12:K12">
    <cfRule type="cellIs" dxfId="48" priority="15" operator="lessThan">
      <formula>0</formula>
    </cfRule>
  </conditionalFormatting>
  <conditionalFormatting sqref="C13:K13">
    <cfRule type="expression" dxfId="47" priority="8">
      <formula>ABS(C$13)&gt;C$12</formula>
    </cfRule>
  </conditionalFormatting>
  <conditionalFormatting sqref="C31:K32">
    <cfRule type="cellIs" dxfId="46" priority="1" operator="lessThan">
      <formula>0</formula>
    </cfRule>
  </conditionalFormatting>
  <dataValidations count="3">
    <dataValidation type="whole" operator="lessThan" allowBlank="1" showInputMessage="1" showErrorMessage="1" error="įveskskite neigiamą skaičių" prompt="Įveskite neigiamą skaičių" sqref="D13:K13" xr:uid="{00000000-0002-0000-0600-000001000000}">
      <formula1>0</formula1>
    </dataValidation>
    <dataValidation type="whole" operator="lessThan" allowBlank="1" showInputMessage="1" showErrorMessage="1" error="Įveskite neigiamą skaičių" prompt="Įveskite neigiamą skaičių" sqref="C13" xr:uid="{7BD18C5C-AF3A-4139-9954-5BC4ABA495C0}">
      <formula1>0</formula1>
    </dataValidation>
    <dataValidation type="custom" operator="lessThan" allowBlank="1" showInputMessage="1" showErrorMessage="1" error="Įvedėte didesnę sumą nei yra nusidėvėjimo sąnaudų iš viso" sqref="C23:K23" xr:uid="{00000000-0002-0000-0600-000000000000}">
      <formula1>SUM(C12:C13)&gt;=0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614B750-D4D6-4D93-8A2E-1C249AAF3401}">
            <xm:f>AND(C4&gt;=YEAR(Parametrai!$C$13),C4&lt;=MIN(YEAR('1'!$C$18),YEAR(EOMONTH(Parametrai!$C$13,Parametrai!$C$14)),IF(Parametrai!$C$16&lt;&gt;0,YEAR(Parametrai!$C$16),YEAR(EOMONTH(Parametrai!$C$13,Parametrai!$C$14)))))</xm:f>
            <x14:dxf>
              <fill>
                <patternFill>
                  <bgColor rgb="FFFFF0D2"/>
                </patternFill>
              </fill>
            </x14:dxf>
          </x14:cfRule>
          <xm:sqref>C4:K4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s11">
    <tabColor theme="9" tint="-0.249977111117893"/>
  </sheetPr>
  <dimension ref="A1:R41"/>
  <sheetViews>
    <sheetView topLeftCell="B1" zoomScale="130" zoomScaleNormal="130" workbookViewId="0">
      <selection activeCell="H19" sqref="H19"/>
    </sheetView>
  </sheetViews>
  <sheetFormatPr defaultColWidth="8.6640625" defaultRowHeight="13.8" x14ac:dyDescent="0.3"/>
  <cols>
    <col min="1" max="1" width="2.6640625" style="11" hidden="1" customWidth="1"/>
    <col min="2" max="2" width="6.44140625" style="11" customWidth="1"/>
    <col min="3" max="3" width="30.5546875" style="11" customWidth="1"/>
    <col min="4" max="4" width="10" style="11" customWidth="1"/>
    <col min="5" max="11" width="7.88671875" style="11" customWidth="1"/>
    <col min="12" max="14" width="10" style="11" customWidth="1"/>
    <col min="15" max="15" width="10.44140625" style="11" customWidth="1"/>
    <col min="16" max="16" width="10" style="11" customWidth="1"/>
    <col min="17" max="17" width="8.6640625" style="11"/>
    <col min="18" max="18" width="45.88671875" style="11" customWidth="1"/>
    <col min="19" max="16384" width="8.6640625" style="11"/>
  </cols>
  <sheetData>
    <row r="1" spans="1:18" s="7" customFormat="1" ht="14.25" customHeight="1" x14ac:dyDescent="0.3">
      <c r="B1" s="139" t="s">
        <v>36</v>
      </c>
      <c r="C1" s="497" t="s">
        <v>383</v>
      </c>
      <c r="D1" s="497"/>
      <c r="E1" s="497"/>
      <c r="F1" s="497"/>
      <c r="G1" s="497"/>
      <c r="H1" s="497"/>
      <c r="I1" s="497"/>
      <c r="J1" s="497"/>
      <c r="K1" s="497"/>
      <c r="L1" s="497"/>
      <c r="M1" s="497"/>
      <c r="N1" s="497"/>
      <c r="O1" s="497"/>
      <c r="P1" s="497"/>
      <c r="R1" s="284" t="s">
        <v>293</v>
      </c>
    </row>
    <row r="2" spans="1:18" s="3" customFormat="1" ht="12" customHeight="1" x14ac:dyDescent="0.3">
      <c r="R2" s="276"/>
    </row>
    <row r="3" spans="1:18" s="3" customFormat="1" x14ac:dyDescent="0.3">
      <c r="B3" s="224" t="s">
        <v>913</v>
      </c>
      <c r="C3" s="225" t="s">
        <v>382</v>
      </c>
      <c r="D3" s="225"/>
      <c r="E3" s="225"/>
      <c r="F3" s="226"/>
      <c r="G3" s="226"/>
      <c r="H3" s="226"/>
      <c r="I3" s="226"/>
      <c r="J3" s="226"/>
      <c r="K3" s="226"/>
      <c r="L3" s="226"/>
      <c r="M3" s="226"/>
      <c r="N3" s="226"/>
      <c r="O3" s="226"/>
      <c r="P3" s="227"/>
      <c r="R3" s="269" t="s">
        <v>965</v>
      </c>
    </row>
    <row r="4" spans="1:18" s="3" customFormat="1" x14ac:dyDescent="0.3">
      <c r="A4" s="228"/>
      <c r="B4" s="508" t="s">
        <v>35</v>
      </c>
      <c r="C4" s="510" t="s">
        <v>75</v>
      </c>
      <c r="D4" s="510"/>
      <c r="E4" s="512" t="s">
        <v>388</v>
      </c>
      <c r="F4" s="513"/>
      <c r="G4" s="513"/>
      <c r="H4" s="513"/>
      <c r="I4" s="513"/>
      <c r="J4" s="513"/>
      <c r="K4" s="514"/>
      <c r="L4" s="510" t="s">
        <v>389</v>
      </c>
      <c r="M4" s="498" t="s">
        <v>390</v>
      </c>
      <c r="N4" s="498" t="s">
        <v>391</v>
      </c>
      <c r="O4" s="498" t="s">
        <v>76</v>
      </c>
      <c r="P4" s="161" t="s">
        <v>387</v>
      </c>
      <c r="R4" s="276"/>
    </row>
    <row r="5" spans="1:18" s="3" customFormat="1" ht="14.4" thickBot="1" x14ac:dyDescent="0.35">
      <c r="A5" s="229"/>
      <c r="B5" s="509"/>
      <c r="C5" s="511"/>
      <c r="D5" s="511"/>
      <c r="E5" s="515"/>
      <c r="F5" s="516"/>
      <c r="G5" s="516"/>
      <c r="H5" s="516"/>
      <c r="I5" s="516"/>
      <c r="J5" s="516"/>
      <c r="K5" s="517"/>
      <c r="L5" s="511"/>
      <c r="M5" s="499"/>
      <c r="N5" s="499"/>
      <c r="O5" s="499"/>
      <c r="P5" s="361">
        <f>DATE(D15,12,31)</f>
        <v>366</v>
      </c>
      <c r="R5" s="276"/>
    </row>
    <row r="6" spans="1:18" s="3" customFormat="1" ht="14.4" thickTop="1" x14ac:dyDescent="0.3">
      <c r="B6" s="33" t="s">
        <v>377</v>
      </c>
      <c r="C6" s="500"/>
      <c r="D6" s="500"/>
      <c r="E6" s="505"/>
      <c r="F6" s="506"/>
      <c r="G6" s="506"/>
      <c r="H6" s="506"/>
      <c r="I6" s="506"/>
      <c r="J6" s="506"/>
      <c r="K6" s="507"/>
      <c r="L6" s="318"/>
      <c r="M6" s="318"/>
      <c r="N6" s="319"/>
      <c r="O6" s="320"/>
      <c r="P6" s="319"/>
      <c r="R6" s="276"/>
    </row>
    <row r="7" spans="1:18" s="3" customFormat="1" x14ac:dyDescent="0.3">
      <c r="B7" s="34" t="s">
        <v>378</v>
      </c>
      <c r="C7" s="501"/>
      <c r="D7" s="501"/>
      <c r="E7" s="502"/>
      <c r="F7" s="503"/>
      <c r="G7" s="503"/>
      <c r="H7" s="503"/>
      <c r="I7" s="503"/>
      <c r="J7" s="503"/>
      <c r="K7" s="504"/>
      <c r="L7" s="321"/>
      <c r="M7" s="321"/>
      <c r="N7" s="322"/>
      <c r="O7" s="309"/>
      <c r="P7" s="323"/>
      <c r="R7" s="276"/>
    </row>
    <row r="8" spans="1:18" s="3" customFormat="1" x14ac:dyDescent="0.3">
      <c r="B8" s="34" t="s">
        <v>379</v>
      </c>
      <c r="C8" s="501"/>
      <c r="D8" s="501"/>
      <c r="E8" s="502"/>
      <c r="F8" s="503"/>
      <c r="G8" s="503"/>
      <c r="H8" s="503"/>
      <c r="I8" s="503"/>
      <c r="J8" s="503"/>
      <c r="K8" s="504"/>
      <c r="L8" s="321"/>
      <c r="M8" s="321"/>
      <c r="N8" s="322"/>
      <c r="O8" s="309"/>
      <c r="P8" s="323"/>
      <c r="R8" s="276"/>
    </row>
    <row r="9" spans="1:18" s="3" customFormat="1" x14ac:dyDescent="0.3">
      <c r="B9" s="34" t="s">
        <v>380</v>
      </c>
      <c r="C9" s="501"/>
      <c r="D9" s="501"/>
      <c r="E9" s="502"/>
      <c r="F9" s="503"/>
      <c r="G9" s="503"/>
      <c r="H9" s="503"/>
      <c r="I9" s="503"/>
      <c r="J9" s="503"/>
      <c r="K9" s="504"/>
      <c r="L9" s="321"/>
      <c r="M9" s="321"/>
      <c r="N9" s="322"/>
      <c r="O9" s="309"/>
      <c r="P9" s="323"/>
      <c r="R9" s="276"/>
    </row>
    <row r="10" spans="1:18" s="3" customFormat="1" ht="15" customHeight="1" thickBot="1" x14ac:dyDescent="0.35">
      <c r="A10" s="107"/>
      <c r="B10" s="106" t="s">
        <v>381</v>
      </c>
      <c r="C10" s="520"/>
      <c r="D10" s="520"/>
      <c r="E10" s="521"/>
      <c r="F10" s="522"/>
      <c r="G10" s="522"/>
      <c r="H10" s="522"/>
      <c r="I10" s="522"/>
      <c r="J10" s="522"/>
      <c r="K10" s="523"/>
      <c r="L10" s="324"/>
      <c r="M10" s="324"/>
      <c r="N10" s="325"/>
      <c r="O10" s="326"/>
      <c r="P10" s="327"/>
      <c r="R10" s="276"/>
    </row>
    <row r="11" spans="1:18" s="3" customFormat="1" ht="15.6" customHeight="1" thickTop="1" thickBot="1" x14ac:dyDescent="0.35">
      <c r="A11" s="107"/>
      <c r="B11" s="524" t="s">
        <v>37</v>
      </c>
      <c r="C11" s="525"/>
      <c r="D11" s="525"/>
      <c r="E11" s="162"/>
      <c r="F11" s="162"/>
      <c r="G11" s="162"/>
      <c r="H11" s="162"/>
      <c r="I11" s="162"/>
      <c r="J11" s="162"/>
      <c r="K11" s="162"/>
      <c r="L11" s="162"/>
      <c r="M11" s="162"/>
      <c r="N11" s="162"/>
      <c r="O11" s="162"/>
      <c r="P11" s="362">
        <f>SUM(P6:P10)</f>
        <v>0</v>
      </c>
      <c r="Q11" s="35"/>
      <c r="R11" s="269" t="str">
        <f>IF(P11&lt;&gt;D23+D33,"Klaida! Nesutampa paskolų ir lizingo įsipareigojimų likučiai 8.1. lentelėje su likučių suma 8.2. ir 8.3. lentelėse","ok")</f>
        <v>ok</v>
      </c>
    </row>
    <row r="12" spans="1:18" s="3" customFormat="1" ht="14.4" thickTop="1" x14ac:dyDescent="0.3">
      <c r="R12" s="276"/>
    </row>
    <row r="13" spans="1:18" s="7" customFormat="1" x14ac:dyDescent="0.3">
      <c r="A13" s="116"/>
      <c r="B13" s="163" t="s">
        <v>914</v>
      </c>
      <c r="C13" s="164" t="s">
        <v>384</v>
      </c>
      <c r="D13" s="164"/>
      <c r="E13" s="164"/>
      <c r="F13" s="164"/>
      <c r="G13" s="164"/>
      <c r="H13" s="164"/>
      <c r="I13" s="164"/>
      <c r="J13" s="164"/>
      <c r="K13" s="164"/>
      <c r="L13" s="164"/>
      <c r="N13" s="269" t="s">
        <v>397</v>
      </c>
    </row>
    <row r="14" spans="1:18" ht="22.8" x14ac:dyDescent="0.3">
      <c r="A14" s="220"/>
      <c r="B14" s="518" t="s">
        <v>35</v>
      </c>
      <c r="C14" s="518" t="s">
        <v>77</v>
      </c>
      <c r="D14" s="131" t="str">
        <f>IF(AND('1'!$C$22="Verslo pradžia",YEAR('1'!$E$22)=YEAR('1'!$C$11)),"Pradžios metai","Ataskaitiniai metai")</f>
        <v>Pradžios metai</v>
      </c>
      <c r="E14" s="464" t="s">
        <v>12</v>
      </c>
      <c r="F14" s="465"/>
      <c r="G14" s="465"/>
      <c r="H14" s="465"/>
      <c r="I14" s="465"/>
      <c r="J14" s="465"/>
      <c r="K14" s="465"/>
      <c r="L14" s="465"/>
      <c r="N14" s="276"/>
    </row>
    <row r="15" spans="1:18" ht="14.4" thickBot="1" x14ac:dyDescent="0.35">
      <c r="A15" s="221"/>
      <c r="B15" s="519"/>
      <c r="C15" s="519"/>
      <c r="D15" s="342">
        <f>IF(D14="Pradžios metai",YEAR('1'!$E$22),IF((YEAR('1'!$C$11)-1)+COUNT($C15:C15)&gt;YEAR('1'!$C$18)+Parametrai!$C$15,"-",(YEAR('1'!$C$11)-1)+COUNT($C15:C15)))</f>
        <v>1900</v>
      </c>
      <c r="E15" s="342">
        <f>IF(E14="Pradžios metai",YEAR('1'!$E$22),IF((YEAR('1'!$C$11)-1)+COUNT($C15:D15)&gt;YEAR('1'!$C$18)+Parametrai!$C$15,"-",(YEAR('1'!$C$11)-1)+COUNT($C15:D15)))</f>
        <v>1900</v>
      </c>
      <c r="F15" s="342">
        <f>IF(F14="Pradžios metai",YEAR('1'!$E$22),IF((YEAR('1'!$C$11)-1)+COUNT($C15:E15)&gt;YEAR('1'!$C$18)+Parametrai!$C$15,"-",(YEAR('1'!$C$11)-1)+COUNT($C15:E15)))</f>
        <v>1901</v>
      </c>
      <c r="G15" s="342">
        <f>IF(G14="Pradžios metai",YEAR('1'!$E$22),IF((YEAR('1'!$C$11)-1)+COUNT($C15:F15)&gt;YEAR('1'!$C$18)+Parametrai!$C$15,"-",(YEAR('1'!$C$11)-1)+COUNT($C15:F15)))</f>
        <v>1902</v>
      </c>
      <c r="H15" s="342">
        <f>IF(H14="Pradžios metai",YEAR('1'!$E$22),IF((YEAR('1'!$C$11)-1)+COUNT($C15:G15)&gt;YEAR('1'!$C$18)+Parametrai!$C$15,"-",(YEAR('1'!$C$11)-1)+COUNT($C15:G15)))</f>
        <v>1903</v>
      </c>
      <c r="I15" s="342" t="str">
        <f>IF(I14="Pradžios metai",YEAR('1'!$E$22),IF((YEAR('1'!$C$11)-1)+COUNT($C15:H15)&gt;YEAR('1'!$C$18)+Parametrai!$C$15,"-",(YEAR('1'!$C$11)-1)+COUNT($C15:H15)))</f>
        <v>-</v>
      </c>
      <c r="J15" s="342" t="str">
        <f>IF(J14="Pradžios metai",YEAR('1'!$E$22),IF((YEAR('1'!$C$11)-1)+COUNT($C15:I15)&gt;YEAR('1'!$C$18)+Parametrai!$C$15,"-",(YEAR('1'!$C$11)-1)+COUNT($C15:I15)))</f>
        <v>-</v>
      </c>
      <c r="K15" s="342" t="str">
        <f>IF(K14="Pradžios metai",YEAR('1'!$E$22),IF((YEAR('1'!$C$11)-1)+COUNT($C15:J15)&gt;YEAR('1'!$C$18)+Parametrai!$C$15,"-",(YEAR('1'!$C$11)-1)+COUNT($C15:J15)))</f>
        <v>-</v>
      </c>
      <c r="L15" s="342" t="str">
        <f>IF(L14="Pradžios metai",YEAR('1'!$E$22),IF((YEAR('1'!$C$11)-1)+COUNT($C15:K15)&gt;YEAR('1'!$C$18)+Parametrai!$C$15,"-",(YEAR('1'!$C$11)-1)+COUNT($C15:K15)))</f>
        <v>-</v>
      </c>
      <c r="N15" s="276"/>
    </row>
    <row r="16" spans="1:18" ht="14.4" thickTop="1" x14ac:dyDescent="0.3">
      <c r="B16" s="50" t="s">
        <v>904</v>
      </c>
      <c r="C16" s="51" t="s">
        <v>78</v>
      </c>
      <c r="D16" s="358">
        <f>+D17+D18</f>
        <v>0</v>
      </c>
      <c r="E16" s="358">
        <f>D23</f>
        <v>0</v>
      </c>
      <c r="F16" s="358">
        <f t="shared" ref="F16:L16" si="0">E23</f>
        <v>0</v>
      </c>
      <c r="G16" s="358">
        <f t="shared" si="0"/>
        <v>0</v>
      </c>
      <c r="H16" s="358">
        <f t="shared" si="0"/>
        <v>0</v>
      </c>
      <c r="I16" s="358">
        <f t="shared" si="0"/>
        <v>0</v>
      </c>
      <c r="J16" s="358">
        <f t="shared" si="0"/>
        <v>0</v>
      </c>
      <c r="K16" s="358">
        <f t="shared" si="0"/>
        <v>0</v>
      </c>
      <c r="L16" s="358">
        <f t="shared" si="0"/>
        <v>0</v>
      </c>
      <c r="N16" s="276"/>
    </row>
    <row r="17" spans="1:18" ht="17.25" customHeight="1" x14ac:dyDescent="0.3">
      <c r="B17" s="21" t="s">
        <v>905</v>
      </c>
      <c r="C17" s="13" t="s">
        <v>79</v>
      </c>
      <c r="D17" s="328"/>
      <c r="E17" s="359">
        <f>+D17+D19-D21</f>
        <v>0</v>
      </c>
      <c r="F17" s="359">
        <f t="shared" ref="F17:L17" si="1">+E17+E19-E21</f>
        <v>0</v>
      </c>
      <c r="G17" s="359">
        <f t="shared" si="1"/>
        <v>0</v>
      </c>
      <c r="H17" s="359">
        <f t="shared" si="1"/>
        <v>0</v>
      </c>
      <c r="I17" s="359">
        <f t="shared" si="1"/>
        <v>0</v>
      </c>
      <c r="J17" s="359">
        <f t="shared" si="1"/>
        <v>0</v>
      </c>
      <c r="K17" s="359">
        <f t="shared" si="1"/>
        <v>0</v>
      </c>
      <c r="L17" s="359">
        <f t="shared" si="1"/>
        <v>0</v>
      </c>
      <c r="N17" s="494" t="s">
        <v>964</v>
      </c>
      <c r="O17" s="494"/>
      <c r="P17" s="494"/>
      <c r="Q17" s="494"/>
      <c r="R17" s="494"/>
    </row>
    <row r="18" spans="1:18" ht="17.25" customHeight="1" x14ac:dyDescent="0.3">
      <c r="B18" s="21" t="s">
        <v>906</v>
      </c>
      <c r="C18" s="21" t="s">
        <v>80</v>
      </c>
      <c r="D18" s="328"/>
      <c r="E18" s="359">
        <f>+D18-D22+D20</f>
        <v>0</v>
      </c>
      <c r="F18" s="359">
        <f t="shared" ref="F18:L18" si="2">+E18-E22+E20</f>
        <v>0</v>
      </c>
      <c r="G18" s="359">
        <f t="shared" si="2"/>
        <v>0</v>
      </c>
      <c r="H18" s="359">
        <f t="shared" si="2"/>
        <v>0</v>
      </c>
      <c r="I18" s="359">
        <f t="shared" si="2"/>
        <v>0</v>
      </c>
      <c r="J18" s="359">
        <f t="shared" si="2"/>
        <v>0</v>
      </c>
      <c r="K18" s="359">
        <f t="shared" si="2"/>
        <v>0</v>
      </c>
      <c r="L18" s="359">
        <f t="shared" si="2"/>
        <v>0</v>
      </c>
      <c r="N18" s="494" t="s">
        <v>963</v>
      </c>
      <c r="O18" s="494"/>
      <c r="P18" s="494"/>
      <c r="Q18" s="494"/>
      <c r="R18" s="494"/>
    </row>
    <row r="19" spans="1:18" x14ac:dyDescent="0.3">
      <c r="B19" s="21" t="s">
        <v>907</v>
      </c>
      <c r="C19" s="21" t="s">
        <v>385</v>
      </c>
      <c r="D19" s="328"/>
      <c r="E19" s="328"/>
      <c r="F19" s="328"/>
      <c r="G19" s="328"/>
      <c r="H19" s="328"/>
      <c r="I19" s="328"/>
      <c r="J19" s="328"/>
      <c r="K19" s="328"/>
      <c r="L19" s="328"/>
      <c r="N19" s="276"/>
    </row>
    <row r="20" spans="1:18" x14ac:dyDescent="0.3">
      <c r="B20" s="21" t="s">
        <v>908</v>
      </c>
      <c r="C20" s="21" t="s">
        <v>81</v>
      </c>
      <c r="D20" s="328"/>
      <c r="E20" s="328"/>
      <c r="F20" s="328"/>
      <c r="G20" s="328"/>
      <c r="H20" s="328"/>
      <c r="I20" s="328"/>
      <c r="J20" s="328"/>
      <c r="K20" s="328"/>
      <c r="L20" s="328"/>
      <c r="N20" s="276"/>
    </row>
    <row r="21" spans="1:18" x14ac:dyDescent="0.3">
      <c r="B21" s="21" t="s">
        <v>909</v>
      </c>
      <c r="C21" s="21" t="s">
        <v>386</v>
      </c>
      <c r="D21" s="328"/>
      <c r="E21" s="328"/>
      <c r="F21" s="328"/>
      <c r="G21" s="328"/>
      <c r="H21" s="328"/>
      <c r="I21" s="328"/>
      <c r="J21" s="328"/>
      <c r="K21" s="328"/>
      <c r="L21" s="328"/>
      <c r="N21" s="276"/>
    </row>
    <row r="22" spans="1:18" ht="14.4" thickBot="1" x14ac:dyDescent="0.35">
      <c r="A22" s="111"/>
      <c r="B22" s="105" t="s">
        <v>903</v>
      </c>
      <c r="C22" s="105" t="s">
        <v>82</v>
      </c>
      <c r="D22" s="329"/>
      <c r="E22" s="329"/>
      <c r="F22" s="329"/>
      <c r="G22" s="329"/>
      <c r="H22" s="329"/>
      <c r="I22" s="329"/>
      <c r="J22" s="329"/>
      <c r="K22" s="329"/>
      <c r="L22" s="329"/>
      <c r="N22" s="276"/>
    </row>
    <row r="23" spans="1:18" ht="15" thickTop="1" thickBot="1" x14ac:dyDescent="0.35">
      <c r="A23" s="111"/>
      <c r="B23" s="112" t="s">
        <v>902</v>
      </c>
      <c r="C23" s="112" t="s">
        <v>83</v>
      </c>
      <c r="D23" s="360">
        <f>+D16+D19+D20-D21-D22</f>
        <v>0</v>
      </c>
      <c r="E23" s="360">
        <f t="shared" ref="E23:L23" si="3">+E16+E19+E20-E21-E22</f>
        <v>0</v>
      </c>
      <c r="F23" s="360">
        <f t="shared" si="3"/>
        <v>0</v>
      </c>
      <c r="G23" s="360">
        <f t="shared" si="3"/>
        <v>0</v>
      </c>
      <c r="H23" s="360">
        <f t="shared" si="3"/>
        <v>0</v>
      </c>
      <c r="I23" s="360">
        <f t="shared" si="3"/>
        <v>0</v>
      </c>
      <c r="J23" s="360">
        <f t="shared" si="3"/>
        <v>0</v>
      </c>
      <c r="K23" s="360">
        <f t="shared" si="3"/>
        <v>0</v>
      </c>
      <c r="L23" s="360">
        <f t="shared" si="3"/>
        <v>0</v>
      </c>
      <c r="N23" s="276"/>
    </row>
    <row r="24" spans="1:18" ht="21.75" customHeight="1" thickTop="1" thickBot="1" x14ac:dyDescent="0.35">
      <c r="B24" s="125" t="s">
        <v>900</v>
      </c>
      <c r="C24" s="267" t="s">
        <v>910</v>
      </c>
      <c r="D24" s="330"/>
      <c r="E24" s="330"/>
      <c r="F24" s="330"/>
      <c r="G24" s="330"/>
      <c r="H24" s="330"/>
      <c r="I24" s="330"/>
      <c r="J24" s="330"/>
      <c r="K24" s="330"/>
      <c r="L24" s="330"/>
      <c r="N24" s="495" t="s">
        <v>962</v>
      </c>
      <c r="O24" s="495"/>
      <c r="P24" s="495"/>
      <c r="Q24" s="495"/>
      <c r="R24" s="495"/>
    </row>
    <row r="25" spans="1:18" ht="14.4" thickTop="1" x14ac:dyDescent="0.3">
      <c r="A25" s="115"/>
      <c r="B25" s="117" t="s">
        <v>901</v>
      </c>
      <c r="C25" s="117" t="s">
        <v>84</v>
      </c>
      <c r="D25" s="331"/>
      <c r="E25" s="331"/>
      <c r="F25" s="331"/>
      <c r="G25" s="331"/>
      <c r="H25" s="331"/>
      <c r="I25" s="331"/>
      <c r="J25" s="331"/>
      <c r="K25" s="331"/>
      <c r="L25" s="331"/>
      <c r="N25" s="276"/>
    </row>
    <row r="26" spans="1:18" x14ac:dyDescent="0.3">
      <c r="R26" s="276"/>
    </row>
    <row r="27" spans="1:18" s="7" customFormat="1" ht="15" customHeight="1" x14ac:dyDescent="0.3">
      <c r="A27" s="116"/>
      <c r="B27" s="163" t="s">
        <v>915</v>
      </c>
      <c r="C27" s="160" t="s">
        <v>404</v>
      </c>
      <c r="D27" s="160"/>
      <c r="E27" s="160"/>
      <c r="F27" s="164"/>
      <c r="G27" s="164"/>
      <c r="H27" s="164"/>
      <c r="I27" s="164"/>
      <c r="J27" s="164"/>
      <c r="K27" s="164"/>
      <c r="L27" s="164"/>
      <c r="N27" s="269" t="s">
        <v>398</v>
      </c>
    </row>
    <row r="28" spans="1:18" ht="22.8" x14ac:dyDescent="0.3">
      <c r="A28" s="223"/>
      <c r="B28" s="518" t="s">
        <v>35</v>
      </c>
      <c r="C28" s="518" t="s">
        <v>77</v>
      </c>
      <c r="D28" s="131" t="str">
        <f>IF(AND('1'!$C$22="Verslo pradžia",YEAR('1'!$E$22)=YEAR('1'!$C$11)),"Pradžios metai","Ataskaitiniai metai")</f>
        <v>Pradžios metai</v>
      </c>
      <c r="E28" s="172" t="s">
        <v>12</v>
      </c>
      <c r="F28" s="391"/>
      <c r="G28" s="391"/>
      <c r="H28" s="391"/>
      <c r="I28" s="391"/>
      <c r="J28" s="391"/>
      <c r="K28" s="391"/>
      <c r="L28" s="391"/>
      <c r="N28" s="276"/>
    </row>
    <row r="29" spans="1:18" ht="14.4" thickBot="1" x14ac:dyDescent="0.35">
      <c r="A29" s="111"/>
      <c r="B29" s="519"/>
      <c r="C29" s="519"/>
      <c r="D29" s="342">
        <f>IF(D28="Pradžios metai",YEAR('1'!$E$22),IF((YEAR('1'!$C$11)-1)+COUNT($C29:C29)&gt;YEAR('1'!$C$18)+Parametrai!$C$15,"-",(YEAR('1'!$C$11)-1)+COUNT($C29:C29)))</f>
        <v>1900</v>
      </c>
      <c r="E29" s="342">
        <f>IF(E28="Pradžios metai",YEAR('1'!$E$22),IF((YEAR('1'!$C$11)-1)+COUNT($C29:D29)&gt;YEAR('1'!$C$18)+Parametrai!$C$15,"-",(YEAR('1'!$C$11)-1)+COUNT($C29:D29)))</f>
        <v>1900</v>
      </c>
      <c r="F29" s="342">
        <f>IF(F28="Pradžios metai",YEAR('1'!$E$22),IF((YEAR('1'!$C$11)-1)+COUNT($C29:E29)&gt;YEAR('1'!$C$18)+Parametrai!$C$15,"-",(YEAR('1'!$C$11)-1)+COUNT($C29:E29)))</f>
        <v>1901</v>
      </c>
      <c r="G29" s="342">
        <f>IF(G28="Pradžios metai",YEAR('1'!$E$22),IF((YEAR('1'!$C$11)-1)+COUNT($C29:F29)&gt;YEAR('1'!$C$18)+Parametrai!$C$15,"-",(YEAR('1'!$C$11)-1)+COUNT($C29:F29)))</f>
        <v>1902</v>
      </c>
      <c r="H29" s="342">
        <f>IF(H28="Pradžios metai",YEAR('1'!$E$22),IF((YEAR('1'!$C$11)-1)+COUNT($C29:G29)&gt;YEAR('1'!$C$18)+Parametrai!$C$15,"-",(YEAR('1'!$C$11)-1)+COUNT($C29:G29)))</f>
        <v>1903</v>
      </c>
      <c r="I29" s="342" t="str">
        <f>IF(I28="Pradžios metai",YEAR('1'!$E$22),IF((YEAR('1'!$C$11)-1)+COUNT($C29:H29)&gt;YEAR('1'!$C$18)+Parametrai!$C$15,"-",(YEAR('1'!$C$11)-1)+COUNT($C29:H29)))</f>
        <v>-</v>
      </c>
      <c r="J29" s="342" t="str">
        <f>IF(J28="Pradžios metai",YEAR('1'!$E$22),IF((YEAR('1'!$C$11)-1)+COUNT($C29:I29)&gt;YEAR('1'!$C$18)+Parametrai!$C$15,"-",(YEAR('1'!$C$11)-1)+COUNT($C29:I29)))</f>
        <v>-</v>
      </c>
      <c r="K29" s="342" t="str">
        <f>IF(K28="Pradžios metai",YEAR('1'!$E$22),IF((YEAR('1'!$C$11)-1)+COUNT($C29:J29)&gt;YEAR('1'!$C$18)+Parametrai!$C$15,"-",(YEAR('1'!$C$11)-1)+COUNT($C29:J29)))</f>
        <v>-</v>
      </c>
      <c r="L29" s="342" t="str">
        <f>IF(L28="Pradžios metai",YEAR('1'!$E$22),IF((YEAR('1'!$C$11)-1)+COUNT($C29:K29)&gt;YEAR('1'!$C$18)+Parametrai!$C$15,"-",(YEAR('1'!$C$11)-1)+COUNT($C29:K29)))</f>
        <v>-</v>
      </c>
      <c r="N29" s="276"/>
    </row>
    <row r="30" spans="1:18" ht="24.6" thickTop="1" x14ac:dyDescent="0.3">
      <c r="B30" s="222" t="s">
        <v>896</v>
      </c>
      <c r="C30" s="121" t="s">
        <v>85</v>
      </c>
      <c r="D30" s="332"/>
      <c r="E30" s="358">
        <f>+D33</f>
        <v>0</v>
      </c>
      <c r="F30" s="358">
        <f t="shared" ref="F30:L30" si="4">+E33</f>
        <v>0</v>
      </c>
      <c r="G30" s="358">
        <f t="shared" si="4"/>
        <v>0</v>
      </c>
      <c r="H30" s="358">
        <f t="shared" si="4"/>
        <v>0</v>
      </c>
      <c r="I30" s="358">
        <f t="shared" si="4"/>
        <v>0</v>
      </c>
      <c r="J30" s="358">
        <f t="shared" si="4"/>
        <v>0</v>
      </c>
      <c r="K30" s="358">
        <f t="shared" si="4"/>
        <v>0</v>
      </c>
      <c r="L30" s="358">
        <f t="shared" si="4"/>
        <v>0</v>
      </c>
      <c r="N30" s="276"/>
    </row>
    <row r="31" spans="1:18" x14ac:dyDescent="0.3">
      <c r="B31" s="27" t="s">
        <v>897</v>
      </c>
      <c r="C31" s="36" t="s">
        <v>853</v>
      </c>
      <c r="D31" s="328"/>
      <c r="E31" s="328"/>
      <c r="F31" s="328"/>
      <c r="G31" s="328"/>
      <c r="H31" s="328"/>
      <c r="I31" s="328"/>
      <c r="J31" s="328"/>
      <c r="K31" s="328"/>
      <c r="L31" s="328"/>
      <c r="N31" s="276"/>
    </row>
    <row r="32" spans="1:18" ht="14.4" thickBot="1" x14ac:dyDescent="0.35">
      <c r="A32" s="111"/>
      <c r="B32" s="118" t="s">
        <v>898</v>
      </c>
      <c r="C32" s="113" t="s">
        <v>86</v>
      </c>
      <c r="D32" s="329"/>
      <c r="E32" s="329"/>
      <c r="F32" s="329"/>
      <c r="G32" s="329"/>
      <c r="H32" s="329"/>
      <c r="I32" s="329"/>
      <c r="J32" s="329"/>
      <c r="K32" s="329"/>
      <c r="L32" s="329"/>
      <c r="N32" s="276"/>
    </row>
    <row r="33" spans="1:18" ht="25.2" thickTop="1" thickBot="1" x14ac:dyDescent="0.35">
      <c r="A33" s="111"/>
      <c r="B33" s="119" t="s">
        <v>899</v>
      </c>
      <c r="C33" s="114" t="s">
        <v>87</v>
      </c>
      <c r="D33" s="360">
        <f>+D30+D31-D32</f>
        <v>0</v>
      </c>
      <c r="E33" s="360">
        <f>+E30+E31-E32</f>
        <v>0</v>
      </c>
      <c r="F33" s="360">
        <f t="shared" ref="F33:L33" si="5">+F30+F31-F32</f>
        <v>0</v>
      </c>
      <c r="G33" s="360">
        <f t="shared" si="5"/>
        <v>0</v>
      </c>
      <c r="H33" s="360">
        <f t="shared" si="5"/>
        <v>0</v>
      </c>
      <c r="I33" s="360">
        <f t="shared" si="5"/>
        <v>0</v>
      </c>
      <c r="J33" s="360">
        <f t="shared" si="5"/>
        <v>0</v>
      </c>
      <c r="K33" s="360">
        <f t="shared" si="5"/>
        <v>0</v>
      </c>
      <c r="L33" s="360">
        <f t="shared" si="5"/>
        <v>0</v>
      </c>
      <c r="N33" s="276"/>
    </row>
    <row r="34" spans="1:18" ht="26.25" customHeight="1" thickTop="1" thickBot="1" x14ac:dyDescent="0.35">
      <c r="B34" s="125" t="s">
        <v>894</v>
      </c>
      <c r="C34" s="267" t="s">
        <v>911</v>
      </c>
      <c r="D34" s="330"/>
      <c r="E34" s="330"/>
      <c r="F34" s="330"/>
      <c r="G34" s="330"/>
      <c r="H34" s="330"/>
      <c r="I34" s="330"/>
      <c r="J34" s="330"/>
      <c r="K34" s="330"/>
      <c r="L34" s="330"/>
      <c r="N34" s="496" t="s">
        <v>961</v>
      </c>
      <c r="O34" s="496"/>
      <c r="P34" s="496"/>
      <c r="Q34" s="496"/>
      <c r="R34" s="496"/>
    </row>
    <row r="35" spans="1:18" ht="14.25" customHeight="1" thickTop="1" x14ac:dyDescent="0.3">
      <c r="A35" s="115"/>
      <c r="B35" s="120" t="s">
        <v>895</v>
      </c>
      <c r="C35" s="209" t="s">
        <v>88</v>
      </c>
      <c r="D35" s="331"/>
      <c r="E35" s="331"/>
      <c r="F35" s="331"/>
      <c r="G35" s="331"/>
      <c r="H35" s="331"/>
      <c r="I35" s="331"/>
      <c r="J35" s="331"/>
      <c r="K35" s="331"/>
      <c r="L35" s="331"/>
      <c r="N35" s="276"/>
    </row>
    <row r="37" spans="1:18" x14ac:dyDescent="0.3">
      <c r="D37" s="255"/>
      <c r="E37" s="255"/>
    </row>
    <row r="38" spans="1:18" x14ac:dyDescent="0.3">
      <c r="D38" s="255"/>
    </row>
    <row r="41" spans="1:18" x14ac:dyDescent="0.3">
      <c r="D41" s="37"/>
      <c r="E41" s="37"/>
      <c r="F41" s="37"/>
      <c r="G41" s="37"/>
      <c r="H41" s="37"/>
      <c r="I41" s="37"/>
      <c r="J41" s="37"/>
      <c r="K41" s="37"/>
      <c r="L41" s="37"/>
      <c r="M41" s="37"/>
      <c r="N41" s="37"/>
      <c r="O41" s="37"/>
      <c r="P41" s="37"/>
    </row>
  </sheetData>
  <sheetProtection algorithmName="SHA-512" hashValue="F3pFNJ53JdoFipjuLjw7PJBDTm0et21UTKPoddcferwYUSRXRSaQrTIq9h/Np8+xdOvmQ6wXCclaWGZ7cltl6g==" saltValue="veDmCfJxjMwtdmcK4GW6BA==" spinCount="100000" sheet="1" objects="1" scenarios="1" formatRows="0" insertRows="0"/>
  <mergeCells count="28">
    <mergeCell ref="B28:B29"/>
    <mergeCell ref="C28:C29"/>
    <mergeCell ref="C10:D10"/>
    <mergeCell ref="E10:K10"/>
    <mergeCell ref="B11:D11"/>
    <mergeCell ref="B14:B15"/>
    <mergeCell ref="C14:C15"/>
    <mergeCell ref="E14:L14"/>
    <mergeCell ref="B4:B5"/>
    <mergeCell ref="C4:D5"/>
    <mergeCell ref="L4:L5"/>
    <mergeCell ref="M4:M5"/>
    <mergeCell ref="N4:N5"/>
    <mergeCell ref="E4:K5"/>
    <mergeCell ref="N17:R17"/>
    <mergeCell ref="N18:R18"/>
    <mergeCell ref="N24:R24"/>
    <mergeCell ref="N34:R34"/>
    <mergeCell ref="C1:P1"/>
    <mergeCell ref="O4:O5"/>
    <mergeCell ref="C6:D6"/>
    <mergeCell ref="C7:D7"/>
    <mergeCell ref="C8:D8"/>
    <mergeCell ref="C9:D9"/>
    <mergeCell ref="E9:K9"/>
    <mergeCell ref="E6:K6"/>
    <mergeCell ref="E7:K7"/>
    <mergeCell ref="E8:K8"/>
  </mergeCells>
  <phoneticPr fontId="12" type="noConversion"/>
  <conditionalFormatting sqref="D23 D33">
    <cfRule type="expression" dxfId="45" priority="66">
      <formula>($D$23+$D$33)&lt;&gt;$P$11</formula>
    </cfRule>
  </conditionalFormatting>
  <conditionalFormatting sqref="D15:L15">
    <cfRule type="expression" dxfId="44" priority="4">
      <formula>D15="-"</formula>
    </cfRule>
  </conditionalFormatting>
  <conditionalFormatting sqref="D29:L29">
    <cfRule type="expression" dxfId="42" priority="2">
      <formula>D29="-"</formula>
    </cfRule>
  </conditionalFormatting>
  <conditionalFormatting sqref="P11">
    <cfRule type="expression" dxfId="40" priority="110">
      <formula>$P$11&lt;&gt;$D$23+$D$33</formula>
    </cfRule>
  </conditionalFormatting>
  <conditionalFormatting sqref="R11">
    <cfRule type="expression" dxfId="39" priority="1">
      <formula>ISNUMBER(SEARCH("Klaida", R11))</formula>
    </cfRule>
  </conditionalFormatting>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5" id="{B8075966-5163-4A35-A1C9-49CD54BCA2CD}">
            <xm:f>AND(D15&gt;=YEAR(Parametrai!$C$13),D15&lt;=MIN(YEAR('1'!$C$18),YEAR(EOMONTH(Parametrai!$C$13,Parametrai!$C$14)),IF(Parametrai!$C$16&lt;&gt;0,YEAR(Parametrai!$C$16),YEAR(EOMONTH(Parametrai!$C$13,Parametrai!$C$14)))))</xm:f>
            <x14:dxf>
              <fill>
                <patternFill>
                  <bgColor rgb="FFFFF0D2"/>
                </patternFill>
              </fill>
            </x14:dxf>
          </x14:cfRule>
          <xm:sqref>D15:L15</xm:sqref>
        </x14:conditionalFormatting>
        <x14:conditionalFormatting xmlns:xm="http://schemas.microsoft.com/office/excel/2006/main">
          <x14:cfRule type="expression" priority="3" id="{14D64450-838D-4942-A5D9-9A1E78FA5A1E}">
            <xm:f>AND(D29&gt;=YEAR(Parametrai!$C$13),D29&lt;=MIN(YEAR('1'!$C$18),YEAR(EOMONTH(Parametrai!$C$13,Parametrai!$C$14)),IF(Parametrai!$C$16&lt;&gt;0,YEAR(Parametrai!$C$16),YEAR(EOMONTH(Parametrai!$C$13,Parametrai!$C$14)))))</xm:f>
            <x14:dxf>
              <fill>
                <patternFill>
                  <bgColor rgb="FFFFF0D2"/>
                </patternFill>
              </fill>
            </x14:dxf>
          </x14:cfRule>
          <xm:sqref>D29:L29</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apas12">
    <tabColor theme="8" tint="-0.499984740745262"/>
  </sheetPr>
  <dimension ref="B1:P66"/>
  <sheetViews>
    <sheetView topLeftCell="B1" zoomScale="120" zoomScaleNormal="120" workbookViewId="0">
      <pane xSplit="2" ySplit="6" topLeftCell="D7" activePane="bottomRight" state="frozen"/>
      <selection activeCell="B14" sqref="B14:L14"/>
      <selection pane="topRight" activeCell="B14" sqref="B14:L14"/>
      <selection pane="bottomLeft" activeCell="B14" sqref="B14:L14"/>
      <selection pane="bottomRight" activeCell="H69" sqref="H69"/>
    </sheetView>
  </sheetViews>
  <sheetFormatPr defaultColWidth="8.6640625" defaultRowHeight="13.8" x14ac:dyDescent="0.3"/>
  <cols>
    <col min="1" max="1" width="0" style="3" hidden="1" customWidth="1"/>
    <col min="2" max="2" width="6.33203125" style="3" customWidth="1"/>
    <col min="3" max="3" width="33.33203125" style="1" customWidth="1"/>
    <col min="4" max="12" width="10" style="3" customWidth="1"/>
    <col min="13" max="13" width="7" style="4" customWidth="1"/>
    <col min="14" max="14" width="43.44140625" style="3" customWidth="1"/>
    <col min="15" max="15" width="42.88671875" style="3" customWidth="1"/>
    <col min="16" max="16384" width="8.6640625" style="3"/>
  </cols>
  <sheetData>
    <row r="1" spans="2:15" x14ac:dyDescent="0.3">
      <c r="B1" s="140" t="s">
        <v>59</v>
      </c>
      <c r="C1" s="165" t="s">
        <v>89</v>
      </c>
      <c r="D1" s="140"/>
      <c r="E1" s="140"/>
      <c r="F1" s="140"/>
      <c r="G1" s="140"/>
      <c r="H1" s="140"/>
      <c r="I1" s="140"/>
      <c r="J1" s="140"/>
      <c r="K1" s="140"/>
      <c r="L1" s="140"/>
      <c r="N1" s="284" t="s">
        <v>293</v>
      </c>
    </row>
    <row r="2" spans="2:15" x14ac:dyDescent="0.3">
      <c r="C2" s="38" t="s">
        <v>90</v>
      </c>
      <c r="D2" s="39">
        <f>ROUND(D34-D66,0)</f>
        <v>0</v>
      </c>
      <c r="E2" s="39">
        <f t="shared" ref="E2:L2" si="0">ROUND(E34-E66,0)</f>
        <v>0</v>
      </c>
      <c r="F2" s="39">
        <f t="shared" si="0"/>
        <v>0</v>
      </c>
      <c r="G2" s="39">
        <f t="shared" si="0"/>
        <v>0</v>
      </c>
      <c r="H2" s="39">
        <f t="shared" si="0"/>
        <v>0</v>
      </c>
      <c r="I2" s="39">
        <f t="shared" si="0"/>
        <v>0</v>
      </c>
      <c r="J2" s="39">
        <f t="shared" si="0"/>
        <v>0</v>
      </c>
      <c r="K2" s="39">
        <f t="shared" si="0"/>
        <v>0</v>
      </c>
      <c r="L2" s="39">
        <f t="shared" si="0"/>
        <v>0</v>
      </c>
      <c r="N2" s="276" t="str">
        <f>IF((COUNTIFS(D2:L2,"&gt;3")+COUNTIFS(D2:L2,"&lt;-3"))&gt;0,"Patikrinkite duomenis, turtas iš viso nėra lygus nuosavybei ir įsipareigojimams iš viso","ok")</f>
        <v>ok</v>
      </c>
    </row>
    <row r="3" spans="2:15" s="2" customFormat="1" x14ac:dyDescent="0.3">
      <c r="B3" s="140" t="s">
        <v>392</v>
      </c>
      <c r="C3" s="264" t="s">
        <v>780</v>
      </c>
      <c r="D3" s="140"/>
      <c r="E3" s="140"/>
      <c r="F3" s="140"/>
      <c r="G3" s="140"/>
      <c r="H3" s="140"/>
      <c r="I3" s="140"/>
      <c r="J3" s="140"/>
      <c r="K3" s="140"/>
      <c r="L3" s="140"/>
      <c r="M3" s="40"/>
      <c r="N3" s="287"/>
    </row>
    <row r="4" spans="2:15" x14ac:dyDescent="0.3">
      <c r="N4" s="287"/>
    </row>
    <row r="5" spans="2:15" ht="22.8" x14ac:dyDescent="0.3">
      <c r="B5" s="526" t="s">
        <v>22</v>
      </c>
      <c r="C5" s="475" t="s">
        <v>44</v>
      </c>
      <c r="D5" s="131" t="str">
        <f>IF(AND('1'!$C$22="Verslo pradžia",YEAR('1'!$E$22)=YEAR('1'!$C$11)),"Pradžios metai","Ataskaitiniai metai")</f>
        <v>Pradžios metai</v>
      </c>
      <c r="E5" s="464" t="s">
        <v>12</v>
      </c>
      <c r="F5" s="465"/>
      <c r="G5" s="465"/>
      <c r="H5" s="465"/>
      <c r="I5" s="465"/>
      <c r="J5" s="465"/>
      <c r="K5" s="465"/>
      <c r="L5" s="465"/>
      <c r="M5" s="42"/>
      <c r="N5" s="287"/>
    </row>
    <row r="6" spans="2:15" ht="14.4" thickBot="1" x14ac:dyDescent="0.35">
      <c r="B6" s="527"/>
      <c r="C6" s="476"/>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5" ht="14.4" thickTop="1" x14ac:dyDescent="0.3">
      <c r="B7" s="166"/>
      <c r="C7" s="167" t="s">
        <v>92</v>
      </c>
      <c r="D7" s="168"/>
      <c r="E7" s="169"/>
      <c r="F7" s="169"/>
      <c r="G7" s="169"/>
      <c r="H7" s="169"/>
      <c r="I7" s="169"/>
      <c r="J7" s="169"/>
      <c r="K7" s="169"/>
      <c r="L7" s="169"/>
      <c r="N7" s="287"/>
    </row>
    <row r="8" spans="2:15" x14ac:dyDescent="0.3">
      <c r="B8" s="170" t="s">
        <v>93</v>
      </c>
      <c r="C8" s="148" t="s">
        <v>94</v>
      </c>
      <c r="D8" s="184">
        <f t="shared" ref="D8:L8" si="1">SUM(D9,D10,D18,D19)</f>
        <v>0</v>
      </c>
      <c r="E8" s="184">
        <f t="shared" si="1"/>
        <v>0</v>
      </c>
      <c r="F8" s="184">
        <f t="shared" si="1"/>
        <v>0</v>
      </c>
      <c r="G8" s="184">
        <f t="shared" si="1"/>
        <v>0</v>
      </c>
      <c r="H8" s="184">
        <f t="shared" si="1"/>
        <v>0</v>
      </c>
      <c r="I8" s="184">
        <f t="shared" si="1"/>
        <v>0</v>
      </c>
      <c r="J8" s="184">
        <f t="shared" si="1"/>
        <v>0</v>
      </c>
      <c r="K8" s="184">
        <f t="shared" si="1"/>
        <v>0</v>
      </c>
      <c r="L8" s="184">
        <f t="shared" si="1"/>
        <v>0</v>
      </c>
      <c r="M8" s="43"/>
      <c r="N8" s="287"/>
    </row>
    <row r="9" spans="2:15" x14ac:dyDescent="0.3">
      <c r="B9" s="44" t="s">
        <v>535</v>
      </c>
      <c r="C9" s="18" t="s">
        <v>95</v>
      </c>
      <c r="D9" s="363">
        <f>'6'!D59</f>
        <v>0</v>
      </c>
      <c r="E9" s="363">
        <f>'6'!E59</f>
        <v>0</v>
      </c>
      <c r="F9" s="363">
        <f>'6'!F59</f>
        <v>0</v>
      </c>
      <c r="G9" s="363">
        <f>'6'!G59</f>
        <v>0</v>
      </c>
      <c r="H9" s="363">
        <f>'6'!H59</f>
        <v>0</v>
      </c>
      <c r="I9" s="363">
        <f>'6'!I59</f>
        <v>0</v>
      </c>
      <c r="J9" s="363">
        <f>'6'!J59</f>
        <v>0</v>
      </c>
      <c r="K9" s="363">
        <f>'6'!K59</f>
        <v>0</v>
      </c>
      <c r="L9" s="363">
        <f>'6'!L59</f>
        <v>0</v>
      </c>
      <c r="M9" s="43"/>
      <c r="N9" s="287"/>
      <c r="O9" s="45"/>
    </row>
    <row r="10" spans="2:15" x14ac:dyDescent="0.3">
      <c r="B10" s="44" t="s">
        <v>536</v>
      </c>
      <c r="C10" s="18" t="s">
        <v>97</v>
      </c>
      <c r="D10" s="359">
        <f t="shared" ref="D10:L10" si="2">SUM(D11,D12:D17)</f>
        <v>0</v>
      </c>
      <c r="E10" s="359">
        <f t="shared" si="2"/>
        <v>0</v>
      </c>
      <c r="F10" s="359">
        <f t="shared" si="2"/>
        <v>0</v>
      </c>
      <c r="G10" s="359">
        <f t="shared" si="2"/>
        <v>0</v>
      </c>
      <c r="H10" s="359">
        <f t="shared" si="2"/>
        <v>0</v>
      </c>
      <c r="I10" s="359">
        <f t="shared" si="2"/>
        <v>0</v>
      </c>
      <c r="J10" s="359">
        <f t="shared" si="2"/>
        <v>0</v>
      </c>
      <c r="K10" s="359">
        <f t="shared" si="2"/>
        <v>0</v>
      </c>
      <c r="L10" s="359">
        <f t="shared" si="2"/>
        <v>0</v>
      </c>
      <c r="N10" s="287"/>
    </row>
    <row r="11" spans="2:15" x14ac:dyDescent="0.3">
      <c r="B11" s="44" t="s">
        <v>715</v>
      </c>
      <c r="C11" s="18" t="s">
        <v>98</v>
      </c>
      <c r="D11" s="363">
        <f>+'6'!D9</f>
        <v>0</v>
      </c>
      <c r="E11" s="363">
        <f>+'6'!E9</f>
        <v>0</v>
      </c>
      <c r="F11" s="363">
        <f>+'6'!F9</f>
        <v>0</v>
      </c>
      <c r="G11" s="363">
        <f>+'6'!G9</f>
        <v>0</v>
      </c>
      <c r="H11" s="363">
        <f>+'6'!H9</f>
        <v>0</v>
      </c>
      <c r="I11" s="363">
        <f>+'6'!I9</f>
        <v>0</v>
      </c>
      <c r="J11" s="363">
        <f>+'6'!J9</f>
        <v>0</v>
      </c>
      <c r="K11" s="363">
        <f>+'6'!K9</f>
        <v>0</v>
      </c>
      <c r="L11" s="363">
        <f>+'6'!L9</f>
        <v>0</v>
      </c>
      <c r="M11" s="43"/>
      <c r="N11" s="287"/>
    </row>
    <row r="12" spans="2:15" x14ac:dyDescent="0.3">
      <c r="B12" s="44" t="s">
        <v>687</v>
      </c>
      <c r="C12" s="18" t="s">
        <v>39</v>
      </c>
      <c r="D12" s="363">
        <f>'6'!D19</f>
        <v>0</v>
      </c>
      <c r="E12" s="363">
        <f>'6'!E19</f>
        <v>0</v>
      </c>
      <c r="F12" s="363">
        <f>'6'!F19</f>
        <v>0</v>
      </c>
      <c r="G12" s="363">
        <f>'6'!G19</f>
        <v>0</v>
      </c>
      <c r="H12" s="363">
        <f>'6'!H19</f>
        <v>0</v>
      </c>
      <c r="I12" s="363">
        <f>'6'!I19</f>
        <v>0</v>
      </c>
      <c r="J12" s="363">
        <f>'6'!J19</f>
        <v>0</v>
      </c>
      <c r="K12" s="363">
        <f>'6'!K19</f>
        <v>0</v>
      </c>
      <c r="L12" s="363">
        <f>'6'!L19</f>
        <v>0</v>
      </c>
      <c r="N12" s="287"/>
    </row>
    <row r="13" spans="2:15" x14ac:dyDescent="0.3">
      <c r="B13" s="44" t="s">
        <v>716</v>
      </c>
      <c r="C13" s="18" t="s">
        <v>56</v>
      </c>
      <c r="D13" s="363">
        <f>'6'!D29</f>
        <v>0</v>
      </c>
      <c r="E13" s="363">
        <f>'6'!E29</f>
        <v>0</v>
      </c>
      <c r="F13" s="363">
        <f>'6'!F29</f>
        <v>0</v>
      </c>
      <c r="G13" s="363">
        <f>'6'!G29</f>
        <v>0</v>
      </c>
      <c r="H13" s="363">
        <f>'6'!H29</f>
        <v>0</v>
      </c>
      <c r="I13" s="363">
        <f>'6'!I29</f>
        <v>0</v>
      </c>
      <c r="J13" s="363">
        <f>'6'!J29</f>
        <v>0</v>
      </c>
      <c r="K13" s="363">
        <f>'6'!K29</f>
        <v>0</v>
      </c>
      <c r="L13" s="363">
        <f>'6'!L29</f>
        <v>0</v>
      </c>
      <c r="N13" s="287"/>
    </row>
    <row r="14" spans="2:15" x14ac:dyDescent="0.3">
      <c r="B14" s="44" t="s">
        <v>717</v>
      </c>
      <c r="C14" s="18" t="s">
        <v>40</v>
      </c>
      <c r="D14" s="363">
        <f>'6'!D39</f>
        <v>0</v>
      </c>
      <c r="E14" s="363">
        <f>'6'!E39</f>
        <v>0</v>
      </c>
      <c r="F14" s="363">
        <f>'6'!F39</f>
        <v>0</v>
      </c>
      <c r="G14" s="363">
        <f>'6'!G39</f>
        <v>0</v>
      </c>
      <c r="H14" s="363">
        <f>'6'!H39</f>
        <v>0</v>
      </c>
      <c r="I14" s="363">
        <f>'6'!I39</f>
        <v>0</v>
      </c>
      <c r="J14" s="363">
        <f>'6'!J39</f>
        <v>0</v>
      </c>
      <c r="K14" s="363">
        <f>'6'!K39</f>
        <v>0</v>
      </c>
      <c r="L14" s="363">
        <f>'6'!L39</f>
        <v>0</v>
      </c>
      <c r="N14" s="287"/>
    </row>
    <row r="15" spans="2:15" x14ac:dyDescent="0.3">
      <c r="B15" s="44" t="s">
        <v>718</v>
      </c>
      <c r="C15" s="18" t="s">
        <v>57</v>
      </c>
      <c r="D15" s="363">
        <f>'6'!D49</f>
        <v>0</v>
      </c>
      <c r="E15" s="363">
        <f>'6'!E49</f>
        <v>0</v>
      </c>
      <c r="F15" s="363">
        <f>'6'!F49</f>
        <v>0</v>
      </c>
      <c r="G15" s="363">
        <f>'6'!G49</f>
        <v>0</v>
      </c>
      <c r="H15" s="363">
        <f>'6'!H49</f>
        <v>0</v>
      </c>
      <c r="I15" s="363">
        <f>'6'!I49</f>
        <v>0</v>
      </c>
      <c r="J15" s="363">
        <f>'6'!J49</f>
        <v>0</v>
      </c>
      <c r="K15" s="363">
        <f>'6'!K49</f>
        <v>0</v>
      </c>
      <c r="L15" s="363">
        <f>'6'!L49</f>
        <v>0</v>
      </c>
      <c r="N15" s="287"/>
    </row>
    <row r="16" spans="2:15" x14ac:dyDescent="0.3">
      <c r="B16" s="44" t="s">
        <v>719</v>
      </c>
      <c r="C16" s="18" t="s">
        <v>99</v>
      </c>
      <c r="D16" s="323"/>
      <c r="E16" s="323"/>
      <c r="F16" s="323"/>
      <c r="G16" s="323"/>
      <c r="H16" s="323"/>
      <c r="I16" s="323"/>
      <c r="J16" s="323"/>
      <c r="K16" s="323"/>
      <c r="L16" s="323"/>
      <c r="N16" s="287" t="s">
        <v>541</v>
      </c>
    </row>
    <row r="17" spans="2:14" ht="24" x14ac:dyDescent="0.3">
      <c r="B17" s="44" t="s">
        <v>720</v>
      </c>
      <c r="C17" s="210" t="s">
        <v>417</v>
      </c>
      <c r="D17" s="108"/>
      <c r="E17" s="108"/>
      <c r="F17" s="108"/>
      <c r="G17" s="108"/>
      <c r="H17" s="108"/>
      <c r="I17" s="108"/>
      <c r="J17" s="108"/>
      <c r="K17" s="108"/>
      <c r="L17" s="108"/>
      <c r="N17" s="287" t="s">
        <v>968</v>
      </c>
    </row>
    <row r="18" spans="2:14" x14ac:dyDescent="0.3">
      <c r="B18" s="44" t="s">
        <v>537</v>
      </c>
      <c r="C18" s="18" t="s">
        <v>100</v>
      </c>
      <c r="D18" s="323"/>
      <c r="E18" s="323"/>
      <c r="F18" s="323"/>
      <c r="G18" s="323"/>
      <c r="H18" s="323"/>
      <c r="I18" s="323"/>
      <c r="J18" s="323"/>
      <c r="K18" s="323"/>
      <c r="L18" s="323"/>
      <c r="N18" s="287" t="s">
        <v>553</v>
      </c>
    </row>
    <row r="19" spans="2:14" x14ac:dyDescent="0.3">
      <c r="B19" s="44" t="s">
        <v>538</v>
      </c>
      <c r="C19" s="18" t="s">
        <v>102</v>
      </c>
      <c r="D19" s="323"/>
      <c r="E19" s="323"/>
      <c r="F19" s="323"/>
      <c r="G19" s="323"/>
      <c r="H19" s="323"/>
      <c r="I19" s="323"/>
      <c r="J19" s="323"/>
      <c r="K19" s="323"/>
      <c r="L19" s="323"/>
      <c r="N19" s="287" t="s">
        <v>916</v>
      </c>
    </row>
    <row r="20" spans="2:14" x14ac:dyDescent="0.3">
      <c r="B20" s="133" t="s">
        <v>104</v>
      </c>
      <c r="C20" s="134" t="s">
        <v>105</v>
      </c>
      <c r="D20" s="206">
        <f t="shared" ref="D20:L20" si="3">SUM(D21,D28,D31,D32)</f>
        <v>0</v>
      </c>
      <c r="E20" s="206">
        <f t="shared" si="3"/>
        <v>0</v>
      </c>
      <c r="F20" s="206">
        <f t="shared" si="3"/>
        <v>0</v>
      </c>
      <c r="G20" s="206">
        <f t="shared" si="3"/>
        <v>0</v>
      </c>
      <c r="H20" s="206">
        <f t="shared" si="3"/>
        <v>0</v>
      </c>
      <c r="I20" s="206">
        <f t="shared" si="3"/>
        <v>0</v>
      </c>
      <c r="J20" s="206">
        <f t="shared" si="3"/>
        <v>0</v>
      </c>
      <c r="K20" s="206">
        <f t="shared" si="3"/>
        <v>0</v>
      </c>
      <c r="L20" s="206">
        <f t="shared" si="3"/>
        <v>0</v>
      </c>
      <c r="N20" s="287"/>
    </row>
    <row r="21" spans="2:14" x14ac:dyDescent="0.3">
      <c r="B21" s="44" t="s">
        <v>688</v>
      </c>
      <c r="C21" s="18" t="s">
        <v>106</v>
      </c>
      <c r="D21" s="363">
        <f t="shared" ref="D21:L21" si="4">SUM(D22:D27)</f>
        <v>0</v>
      </c>
      <c r="E21" s="363">
        <f t="shared" si="4"/>
        <v>0</v>
      </c>
      <c r="F21" s="363">
        <f t="shared" si="4"/>
        <v>0</v>
      </c>
      <c r="G21" s="363">
        <f t="shared" si="4"/>
        <v>0</v>
      </c>
      <c r="H21" s="363">
        <f t="shared" si="4"/>
        <v>0</v>
      </c>
      <c r="I21" s="363">
        <f t="shared" si="4"/>
        <v>0</v>
      </c>
      <c r="J21" s="363">
        <f t="shared" si="4"/>
        <v>0</v>
      </c>
      <c r="K21" s="363">
        <f t="shared" si="4"/>
        <v>0</v>
      </c>
      <c r="L21" s="363">
        <f t="shared" si="4"/>
        <v>0</v>
      </c>
      <c r="N21" s="288"/>
    </row>
    <row r="22" spans="2:14" x14ac:dyDescent="0.3">
      <c r="B22" s="44" t="s">
        <v>689</v>
      </c>
      <c r="C22" s="18" t="s">
        <v>107</v>
      </c>
      <c r="D22" s="323"/>
      <c r="E22" s="323"/>
      <c r="F22" s="323"/>
      <c r="G22" s="323"/>
      <c r="H22" s="323"/>
      <c r="I22" s="323"/>
      <c r="J22" s="323"/>
      <c r="K22" s="323"/>
      <c r="L22" s="323"/>
      <c r="N22" s="287"/>
    </row>
    <row r="23" spans="2:14" x14ac:dyDescent="0.3">
      <c r="B23" s="44" t="s">
        <v>690</v>
      </c>
      <c r="C23" s="18" t="s">
        <v>108</v>
      </c>
      <c r="D23" s="323"/>
      <c r="E23" s="323"/>
      <c r="F23" s="323"/>
      <c r="G23" s="323"/>
      <c r="H23" s="323"/>
      <c r="I23" s="323"/>
      <c r="J23" s="323"/>
      <c r="K23" s="323"/>
      <c r="L23" s="323"/>
      <c r="N23" s="287"/>
    </row>
    <row r="24" spans="2:14" x14ac:dyDescent="0.3">
      <c r="B24" s="44" t="s">
        <v>691</v>
      </c>
      <c r="C24" s="18" t="s">
        <v>109</v>
      </c>
      <c r="D24" s="323"/>
      <c r="E24" s="323"/>
      <c r="F24" s="323"/>
      <c r="G24" s="323"/>
      <c r="H24" s="323"/>
      <c r="I24" s="323"/>
      <c r="J24" s="323"/>
      <c r="K24" s="323"/>
      <c r="L24" s="323"/>
      <c r="M24" s="42"/>
      <c r="N24" s="287"/>
    </row>
    <row r="25" spans="2:14" x14ac:dyDescent="0.3">
      <c r="B25" s="44" t="s">
        <v>692</v>
      </c>
      <c r="C25" s="18" t="s">
        <v>110</v>
      </c>
      <c r="D25" s="323"/>
      <c r="E25" s="323"/>
      <c r="F25" s="323"/>
      <c r="G25" s="323"/>
      <c r="H25" s="323"/>
      <c r="I25" s="323"/>
      <c r="J25" s="323"/>
      <c r="K25" s="323"/>
      <c r="L25" s="323"/>
      <c r="N25" s="287" t="s">
        <v>969</v>
      </c>
    </row>
    <row r="26" spans="2:14" x14ac:dyDescent="0.3">
      <c r="B26" s="44" t="s">
        <v>693</v>
      </c>
      <c r="C26" s="18" t="s">
        <v>103</v>
      </c>
      <c r="D26" s="323"/>
      <c r="E26" s="323"/>
      <c r="F26" s="323"/>
      <c r="G26" s="323"/>
      <c r="H26" s="323"/>
      <c r="I26" s="323"/>
      <c r="J26" s="323"/>
      <c r="K26" s="323"/>
      <c r="L26" s="323"/>
      <c r="M26" s="43"/>
      <c r="N26" s="287"/>
    </row>
    <row r="27" spans="2:14" x14ac:dyDescent="0.3">
      <c r="B27" s="44" t="s">
        <v>694</v>
      </c>
      <c r="C27" s="18" t="s">
        <v>96</v>
      </c>
      <c r="D27" s="323"/>
      <c r="E27" s="323"/>
      <c r="F27" s="323"/>
      <c r="G27" s="323"/>
      <c r="H27" s="323"/>
      <c r="I27" s="323"/>
      <c r="J27" s="323"/>
      <c r="K27" s="323"/>
      <c r="L27" s="323"/>
      <c r="N27" s="287"/>
    </row>
    <row r="28" spans="2:14" x14ac:dyDescent="0.3">
      <c r="B28" s="44" t="s">
        <v>695</v>
      </c>
      <c r="C28" s="18" t="s">
        <v>111</v>
      </c>
      <c r="D28" s="363">
        <f t="shared" ref="D28:L28" si="5">SUM(D29:D30)</f>
        <v>0</v>
      </c>
      <c r="E28" s="363">
        <f t="shared" si="5"/>
        <v>0</v>
      </c>
      <c r="F28" s="363">
        <f t="shared" si="5"/>
        <v>0</v>
      </c>
      <c r="G28" s="363">
        <f t="shared" si="5"/>
        <v>0</v>
      </c>
      <c r="H28" s="363">
        <f t="shared" si="5"/>
        <v>0</v>
      </c>
      <c r="I28" s="363">
        <f t="shared" si="5"/>
        <v>0</v>
      </c>
      <c r="J28" s="363">
        <f t="shared" si="5"/>
        <v>0</v>
      </c>
      <c r="K28" s="363">
        <f t="shared" si="5"/>
        <v>0</v>
      </c>
      <c r="L28" s="363">
        <f t="shared" si="5"/>
        <v>0</v>
      </c>
      <c r="N28" s="287"/>
    </row>
    <row r="29" spans="2:14" x14ac:dyDescent="0.3">
      <c r="B29" s="44" t="s">
        <v>696</v>
      </c>
      <c r="C29" s="18" t="s">
        <v>112</v>
      </c>
      <c r="D29" s="328"/>
      <c r="E29" s="323"/>
      <c r="F29" s="323"/>
      <c r="G29" s="323"/>
      <c r="H29" s="323"/>
      <c r="I29" s="323"/>
      <c r="J29" s="323"/>
      <c r="K29" s="323"/>
      <c r="L29" s="323"/>
      <c r="N29" s="287"/>
    </row>
    <row r="30" spans="2:14" x14ac:dyDescent="0.3">
      <c r="B30" s="44" t="s">
        <v>697</v>
      </c>
      <c r="C30" s="18" t="s">
        <v>113</v>
      </c>
      <c r="D30" s="328"/>
      <c r="E30" s="323"/>
      <c r="F30" s="323"/>
      <c r="G30" s="323"/>
      <c r="H30" s="323"/>
      <c r="I30" s="323"/>
      <c r="J30" s="323"/>
      <c r="K30" s="323"/>
      <c r="L30" s="323"/>
      <c r="N30" s="287"/>
    </row>
    <row r="31" spans="2:14" x14ac:dyDescent="0.3">
      <c r="B31" s="44" t="s">
        <v>698</v>
      </c>
      <c r="C31" s="18" t="s">
        <v>114</v>
      </c>
      <c r="D31" s="328"/>
      <c r="E31" s="323"/>
      <c r="F31" s="323"/>
      <c r="G31" s="323"/>
      <c r="H31" s="323"/>
      <c r="I31" s="323"/>
      <c r="J31" s="323"/>
      <c r="K31" s="323"/>
      <c r="L31" s="323"/>
      <c r="M31" s="43"/>
      <c r="N31" s="287"/>
    </row>
    <row r="32" spans="2:14" x14ac:dyDescent="0.3">
      <c r="B32" s="44" t="s">
        <v>699</v>
      </c>
      <c r="C32" s="18" t="s">
        <v>115</v>
      </c>
      <c r="D32" s="328"/>
      <c r="E32" s="359">
        <f>+'9.3'!E64</f>
        <v>0</v>
      </c>
      <c r="F32" s="359">
        <f>+'9.3'!F64</f>
        <v>0</v>
      </c>
      <c r="G32" s="359">
        <f>+'9.3'!G64</f>
        <v>0</v>
      </c>
      <c r="H32" s="359">
        <f>+'9.3'!H64</f>
        <v>0</v>
      </c>
      <c r="I32" s="359">
        <f>+'9.3'!I64</f>
        <v>0</v>
      </c>
      <c r="J32" s="359">
        <f>+'9.3'!J64</f>
        <v>0</v>
      </c>
      <c r="K32" s="359">
        <f>+'9.3'!K64</f>
        <v>0</v>
      </c>
      <c r="L32" s="359">
        <f>+'9.3'!L64</f>
        <v>0</v>
      </c>
      <c r="M32" s="43"/>
      <c r="N32" s="269" t="str">
        <f>IF(COUNTIFS(D32:L32,"&lt;0")&gt;0,"Klaida! Pinigų likutis negali būti neigiamas!","ok")</f>
        <v>ok</v>
      </c>
    </row>
    <row r="33" spans="2:14" ht="22.8" x14ac:dyDescent="0.3">
      <c r="B33" s="133" t="s">
        <v>116</v>
      </c>
      <c r="C33" s="134" t="s">
        <v>117</v>
      </c>
      <c r="D33" s="333"/>
      <c r="E33" s="334"/>
      <c r="F33" s="334"/>
      <c r="G33" s="334"/>
      <c r="H33" s="334"/>
      <c r="I33" s="334"/>
      <c r="J33" s="334"/>
      <c r="K33" s="334"/>
      <c r="L33" s="334"/>
      <c r="M33" s="43"/>
      <c r="N33" s="269" t="str">
        <f>IF(ABS(D32-'9.3'!D64)&gt;1,"Klaida! Ataskaitiniais metais pinigų likutis balanse ir pinigų srautų ataskaitoje nesutampa","ok")</f>
        <v>ok</v>
      </c>
    </row>
    <row r="34" spans="2:14" s="5" customFormat="1" ht="14.7" customHeight="1" thickBot="1" x14ac:dyDescent="0.35">
      <c r="B34" s="214"/>
      <c r="C34" s="214" t="s">
        <v>118</v>
      </c>
      <c r="D34" s="183">
        <f t="shared" ref="D34:L34" si="6">SUM(D8,D20,D33)</f>
        <v>0</v>
      </c>
      <c r="E34" s="183">
        <f t="shared" si="6"/>
        <v>0</v>
      </c>
      <c r="F34" s="183">
        <f t="shared" si="6"/>
        <v>0</v>
      </c>
      <c r="G34" s="183">
        <f t="shared" si="6"/>
        <v>0</v>
      </c>
      <c r="H34" s="183">
        <f t="shared" si="6"/>
        <v>0</v>
      </c>
      <c r="I34" s="183">
        <f t="shared" si="6"/>
        <v>0</v>
      </c>
      <c r="J34" s="183">
        <f t="shared" si="6"/>
        <v>0</v>
      </c>
      <c r="K34" s="183">
        <f t="shared" si="6"/>
        <v>0</v>
      </c>
      <c r="L34" s="183">
        <f t="shared" si="6"/>
        <v>0</v>
      </c>
      <c r="M34" s="43"/>
      <c r="N34" s="287"/>
    </row>
    <row r="35" spans="2:14" ht="14.4" thickTop="1" x14ac:dyDescent="0.3">
      <c r="B35" s="43"/>
      <c r="C35" s="43"/>
      <c r="D35" s="109"/>
      <c r="E35" s="109"/>
      <c r="F35" s="109"/>
      <c r="G35" s="109"/>
      <c r="H35" s="109"/>
      <c r="I35" s="109"/>
      <c r="J35" s="109"/>
      <c r="K35" s="109"/>
      <c r="L35" s="109"/>
      <c r="M35" s="43"/>
      <c r="N35" s="287"/>
    </row>
    <row r="36" spans="2:14" ht="22.8" x14ac:dyDescent="0.3">
      <c r="B36" s="172"/>
      <c r="C36" s="134" t="s">
        <v>119</v>
      </c>
      <c r="D36" s="173"/>
      <c r="E36" s="173"/>
      <c r="F36" s="173"/>
      <c r="G36" s="173"/>
      <c r="H36" s="173"/>
      <c r="I36" s="173"/>
      <c r="J36" s="173"/>
      <c r="K36" s="173"/>
      <c r="L36" s="173"/>
      <c r="M36" s="43"/>
      <c r="N36" s="287"/>
    </row>
    <row r="37" spans="2:14" x14ac:dyDescent="0.3">
      <c r="B37" s="133" t="s">
        <v>120</v>
      </c>
      <c r="C37" s="174" t="s">
        <v>121</v>
      </c>
      <c r="D37" s="208">
        <f>SUM(D38,D42:D45)</f>
        <v>0</v>
      </c>
      <c r="E37" s="208">
        <f t="shared" ref="E37:L37" si="7">SUM(E38,E42:E45)</f>
        <v>0</v>
      </c>
      <c r="F37" s="208">
        <f t="shared" si="7"/>
        <v>0</v>
      </c>
      <c r="G37" s="208">
        <f t="shared" si="7"/>
        <v>0</v>
      </c>
      <c r="H37" s="208">
        <f t="shared" si="7"/>
        <v>0</v>
      </c>
      <c r="I37" s="208">
        <f t="shared" si="7"/>
        <v>0</v>
      </c>
      <c r="J37" s="208">
        <f t="shared" si="7"/>
        <v>0</v>
      </c>
      <c r="K37" s="208">
        <f t="shared" si="7"/>
        <v>0</v>
      </c>
      <c r="L37" s="208">
        <f t="shared" si="7"/>
        <v>0</v>
      </c>
      <c r="M37" s="43"/>
      <c r="N37" s="287"/>
    </row>
    <row r="38" spans="2:14" x14ac:dyDescent="0.3">
      <c r="B38" s="44" t="s">
        <v>700</v>
      </c>
      <c r="C38" s="18" t="s">
        <v>122</v>
      </c>
      <c r="D38" s="363">
        <f>SUM(D39:D41)</f>
        <v>0</v>
      </c>
      <c r="E38" s="363">
        <f>SUM(E39:E41)</f>
        <v>0</v>
      </c>
      <c r="F38" s="363">
        <f t="shared" ref="F38:L38" si="8">SUM(F39:F41)</f>
        <v>0</v>
      </c>
      <c r="G38" s="363">
        <f t="shared" si="8"/>
        <v>0</v>
      </c>
      <c r="H38" s="363">
        <f t="shared" si="8"/>
        <v>0</v>
      </c>
      <c r="I38" s="363">
        <f t="shared" si="8"/>
        <v>0</v>
      </c>
      <c r="J38" s="363">
        <f t="shared" si="8"/>
        <v>0</v>
      </c>
      <c r="K38" s="363">
        <f t="shared" si="8"/>
        <v>0</v>
      </c>
      <c r="L38" s="363">
        <f t="shared" si="8"/>
        <v>0</v>
      </c>
      <c r="M38" s="43"/>
      <c r="N38" s="287"/>
    </row>
    <row r="39" spans="2:14" x14ac:dyDescent="0.3">
      <c r="B39" s="44" t="s">
        <v>701</v>
      </c>
      <c r="C39" s="18" t="s">
        <v>123</v>
      </c>
      <c r="D39" s="404">
        <f>+D34-D40-D41-D48-D45-D44-D50-D65-D42-D43-D49</f>
        <v>0</v>
      </c>
      <c r="E39" s="363">
        <f>+D39+'9.3'!E43+'9.3'!E45</f>
        <v>0</v>
      </c>
      <c r="F39" s="363">
        <f>+E39+'9.3'!F43+'9.3'!F45</f>
        <v>0</v>
      </c>
      <c r="G39" s="363">
        <f>+F39+'9.3'!G43+'9.3'!G45</f>
        <v>0</v>
      </c>
      <c r="H39" s="363">
        <f>+G39+'9.3'!H43+'9.3'!H45</f>
        <v>0</v>
      </c>
      <c r="I39" s="363">
        <f>+H39+'9.3'!I43+'9.3'!I45</f>
        <v>0</v>
      </c>
      <c r="J39" s="363">
        <f>+I39+'9.3'!J43+'9.3'!J45</f>
        <v>0</v>
      </c>
      <c r="K39" s="363">
        <f>+J39+'9.3'!K43+'9.3'!K45</f>
        <v>0</v>
      </c>
      <c r="L39" s="363">
        <f>+K39+'9.3'!L43+'9.3'!L45</f>
        <v>0</v>
      </c>
      <c r="M39" s="43"/>
      <c r="N39" s="287" t="s">
        <v>924</v>
      </c>
    </row>
    <row r="40" spans="2:14" x14ac:dyDescent="0.3">
      <c r="B40" s="44" t="s">
        <v>702</v>
      </c>
      <c r="C40" s="18" t="s">
        <v>124</v>
      </c>
      <c r="D40" s="323"/>
      <c r="E40" s="323"/>
      <c r="F40" s="323"/>
      <c r="G40" s="323"/>
      <c r="H40" s="323"/>
      <c r="I40" s="323"/>
      <c r="J40" s="323"/>
      <c r="K40" s="323"/>
      <c r="L40" s="323"/>
      <c r="N40" s="287" t="s">
        <v>553</v>
      </c>
    </row>
    <row r="41" spans="2:14" x14ac:dyDescent="0.3">
      <c r="B41" s="44" t="s">
        <v>703</v>
      </c>
      <c r="C41" s="18" t="s">
        <v>125</v>
      </c>
      <c r="D41" s="323"/>
      <c r="E41" s="323"/>
      <c r="F41" s="323"/>
      <c r="G41" s="323"/>
      <c r="H41" s="323"/>
      <c r="I41" s="323"/>
      <c r="J41" s="323"/>
      <c r="K41" s="323"/>
      <c r="L41" s="323"/>
      <c r="N41" s="287" t="s">
        <v>553</v>
      </c>
    </row>
    <row r="42" spans="2:14" x14ac:dyDescent="0.3">
      <c r="B42" s="44" t="s">
        <v>704</v>
      </c>
      <c r="C42" s="18" t="s">
        <v>126</v>
      </c>
      <c r="D42" s="323"/>
      <c r="E42" s="323"/>
      <c r="F42" s="323"/>
      <c r="G42" s="323"/>
      <c r="H42" s="323"/>
      <c r="I42" s="323"/>
      <c r="J42" s="323"/>
      <c r="K42" s="323"/>
      <c r="L42" s="323"/>
      <c r="N42" s="287" t="s">
        <v>553</v>
      </c>
    </row>
    <row r="43" spans="2:14" x14ac:dyDescent="0.3">
      <c r="B43" s="44" t="s">
        <v>705</v>
      </c>
      <c r="C43" s="18" t="s">
        <v>127</v>
      </c>
      <c r="D43" s="323"/>
      <c r="E43" s="323"/>
      <c r="F43" s="323"/>
      <c r="G43" s="323"/>
      <c r="H43" s="323"/>
      <c r="I43" s="323"/>
      <c r="J43" s="323"/>
      <c r="K43" s="323"/>
      <c r="L43" s="323"/>
      <c r="N43" s="287" t="s">
        <v>553</v>
      </c>
    </row>
    <row r="44" spans="2:14" x14ac:dyDescent="0.3">
      <c r="B44" s="44" t="s">
        <v>706</v>
      </c>
      <c r="C44" s="18" t="s">
        <v>128</v>
      </c>
      <c r="D44" s="323"/>
      <c r="E44" s="323"/>
      <c r="F44" s="323"/>
      <c r="G44" s="323"/>
      <c r="H44" s="323"/>
      <c r="I44" s="323"/>
      <c r="J44" s="323"/>
      <c r="K44" s="323"/>
      <c r="L44" s="323"/>
      <c r="N44" s="287" t="s">
        <v>553</v>
      </c>
    </row>
    <row r="45" spans="2:14" ht="24" x14ac:dyDescent="0.3">
      <c r="B45" s="44" t="s">
        <v>707</v>
      </c>
      <c r="C45" s="18" t="s">
        <v>129</v>
      </c>
      <c r="D45" s="359">
        <f>SUM(D46:D47)</f>
        <v>0</v>
      </c>
      <c r="E45" s="359">
        <f>SUM(E46:E47)</f>
        <v>0</v>
      </c>
      <c r="F45" s="359">
        <f t="shared" ref="F45:L45" si="9">SUM(F46:F47)</f>
        <v>0</v>
      </c>
      <c r="G45" s="359">
        <f t="shared" si="9"/>
        <v>0</v>
      </c>
      <c r="H45" s="359">
        <f t="shared" si="9"/>
        <v>0</v>
      </c>
      <c r="I45" s="359">
        <f t="shared" si="9"/>
        <v>0</v>
      </c>
      <c r="J45" s="359">
        <f t="shared" si="9"/>
        <v>0</v>
      </c>
      <c r="K45" s="359">
        <f t="shared" si="9"/>
        <v>0</v>
      </c>
      <c r="L45" s="359">
        <f t="shared" si="9"/>
        <v>0</v>
      </c>
      <c r="N45" s="287"/>
    </row>
    <row r="46" spans="2:14" x14ac:dyDescent="0.3">
      <c r="B46" s="44" t="s">
        <v>708</v>
      </c>
      <c r="C46" s="18" t="s">
        <v>130</v>
      </c>
      <c r="D46" s="404">
        <f>'9.2'!D24+'9.3'!D44</f>
        <v>0</v>
      </c>
      <c r="E46" s="359">
        <f>'9.2'!E24+'9.3'!E44</f>
        <v>0</v>
      </c>
      <c r="F46" s="359">
        <f>'9.2'!F24+'9.3'!F44</f>
        <v>0</v>
      </c>
      <c r="G46" s="359">
        <f>'9.2'!G24+'9.3'!G44</f>
        <v>0</v>
      </c>
      <c r="H46" s="359">
        <f>'9.2'!H24+'9.3'!H44</f>
        <v>0</v>
      </c>
      <c r="I46" s="359">
        <f>'9.2'!I24+'9.3'!I44</f>
        <v>0</v>
      </c>
      <c r="J46" s="359">
        <f>'9.2'!J24+'9.3'!J44</f>
        <v>0</v>
      </c>
      <c r="K46" s="359">
        <f>'9.2'!K24+'9.3'!K44</f>
        <v>0</v>
      </c>
      <c r="L46" s="359">
        <f>'9.2'!L24+'9.3'!L44</f>
        <v>0</v>
      </c>
      <c r="N46" s="287" t="s">
        <v>924</v>
      </c>
    </row>
    <row r="47" spans="2:14" x14ac:dyDescent="0.3">
      <c r="B47" s="44" t="s">
        <v>709</v>
      </c>
      <c r="C47" s="18" t="s">
        <v>131</v>
      </c>
      <c r="D47" s="323"/>
      <c r="E47" s="359">
        <f>D45</f>
        <v>0</v>
      </c>
      <c r="F47" s="359">
        <f t="shared" ref="F47:L47" si="10">E45</f>
        <v>0</v>
      </c>
      <c r="G47" s="359">
        <f t="shared" si="10"/>
        <v>0</v>
      </c>
      <c r="H47" s="359">
        <f t="shared" si="10"/>
        <v>0</v>
      </c>
      <c r="I47" s="359">
        <f t="shared" si="10"/>
        <v>0</v>
      </c>
      <c r="J47" s="359">
        <f t="shared" si="10"/>
        <v>0</v>
      </c>
      <c r="K47" s="359">
        <f t="shared" si="10"/>
        <v>0</v>
      </c>
      <c r="L47" s="359">
        <f t="shared" si="10"/>
        <v>0</v>
      </c>
      <c r="N47" s="287"/>
    </row>
    <row r="48" spans="2:14" x14ac:dyDescent="0.3">
      <c r="B48" s="133" t="s">
        <v>132</v>
      </c>
      <c r="C48" s="134" t="s">
        <v>133</v>
      </c>
      <c r="D48" s="334"/>
      <c r="E48" s="205">
        <f>D48+'9.3'!E58+'7'!D13</f>
        <v>0</v>
      </c>
      <c r="F48" s="205">
        <f>E48+'9.3'!F58+'7'!E13</f>
        <v>0</v>
      </c>
      <c r="G48" s="205">
        <f>F48+'9.3'!G58+'7'!F13</f>
        <v>0</v>
      </c>
      <c r="H48" s="205">
        <f>G48+'9.3'!H58+'7'!G13</f>
        <v>0</v>
      </c>
      <c r="I48" s="205">
        <f>H48+'9.3'!I58+'7'!H13</f>
        <v>0</v>
      </c>
      <c r="J48" s="205">
        <f>I48+'9.3'!J58+'7'!I13</f>
        <v>0</v>
      </c>
      <c r="K48" s="205">
        <f>J48+'9.3'!K58+'7'!J13</f>
        <v>0</v>
      </c>
      <c r="L48" s="205">
        <f>K48+'9.3'!L58+'7'!K13</f>
        <v>0</v>
      </c>
      <c r="M48" s="43"/>
      <c r="N48" s="269" t="str">
        <f>IF(COUNTIFS(D48:L48,"&lt;0")&gt;1,"Klaida! Dotacijų likutis negali būti neigiamas!","ok")</f>
        <v>ok</v>
      </c>
    </row>
    <row r="49" spans="2:14" x14ac:dyDescent="0.3">
      <c r="B49" s="133" t="s">
        <v>134</v>
      </c>
      <c r="C49" s="134" t="s">
        <v>135</v>
      </c>
      <c r="D49" s="333"/>
      <c r="E49" s="333"/>
      <c r="F49" s="333"/>
      <c r="G49" s="333"/>
      <c r="H49" s="333"/>
      <c r="I49" s="333"/>
      <c r="J49" s="333"/>
      <c r="K49" s="333"/>
      <c r="L49" s="333"/>
      <c r="N49" s="287"/>
    </row>
    <row r="50" spans="2:14" ht="22.8" x14ac:dyDescent="0.3">
      <c r="B50" s="133" t="s">
        <v>136</v>
      </c>
      <c r="C50" s="134" t="s">
        <v>137</v>
      </c>
      <c r="D50" s="205">
        <f t="shared" ref="D50:L50" si="11">SUM(D51,D57)</f>
        <v>0</v>
      </c>
      <c r="E50" s="205">
        <f t="shared" si="11"/>
        <v>0</v>
      </c>
      <c r="F50" s="205">
        <f t="shared" si="11"/>
        <v>0</v>
      </c>
      <c r="G50" s="205">
        <f t="shared" si="11"/>
        <v>0</v>
      </c>
      <c r="H50" s="205">
        <f t="shared" si="11"/>
        <v>0</v>
      </c>
      <c r="I50" s="205">
        <f t="shared" si="11"/>
        <v>0</v>
      </c>
      <c r="J50" s="205">
        <f t="shared" si="11"/>
        <v>0</v>
      </c>
      <c r="K50" s="205">
        <f t="shared" si="11"/>
        <v>0</v>
      </c>
      <c r="L50" s="205">
        <f t="shared" si="11"/>
        <v>0</v>
      </c>
      <c r="N50" s="287"/>
    </row>
    <row r="51" spans="2:14" ht="24" x14ac:dyDescent="0.3">
      <c r="B51" s="44" t="s">
        <v>710</v>
      </c>
      <c r="C51" s="18" t="s">
        <v>966</v>
      </c>
      <c r="D51" s="359">
        <f>SUM(D52:D56)</f>
        <v>0</v>
      </c>
      <c r="E51" s="359">
        <f t="shared" ref="E51:L51" si="12">SUM(E52:E56)</f>
        <v>0</v>
      </c>
      <c r="F51" s="359">
        <f t="shared" si="12"/>
        <v>0</v>
      </c>
      <c r="G51" s="359">
        <f t="shared" si="12"/>
        <v>0</v>
      </c>
      <c r="H51" s="359">
        <f t="shared" si="12"/>
        <v>0</v>
      </c>
      <c r="I51" s="359">
        <f t="shared" si="12"/>
        <v>0</v>
      </c>
      <c r="J51" s="359">
        <f t="shared" si="12"/>
        <v>0</v>
      </c>
      <c r="K51" s="359">
        <f t="shared" si="12"/>
        <v>0</v>
      </c>
      <c r="L51" s="359">
        <f t="shared" si="12"/>
        <v>0</v>
      </c>
      <c r="M51" s="43"/>
      <c r="N51" s="287"/>
    </row>
    <row r="52" spans="2:14" x14ac:dyDescent="0.3">
      <c r="B52" s="44" t="s">
        <v>711</v>
      </c>
      <c r="C52" s="18" t="s">
        <v>138</v>
      </c>
      <c r="D52" s="359">
        <f>'8'!D33-D58</f>
        <v>0</v>
      </c>
      <c r="E52" s="359">
        <f>'8'!E33-E58</f>
        <v>0</v>
      </c>
      <c r="F52" s="359">
        <f>'8'!F33-F58</f>
        <v>0</v>
      </c>
      <c r="G52" s="359">
        <f>'8'!G33-G58</f>
        <v>0</v>
      </c>
      <c r="H52" s="359">
        <f>'8'!H33-H58</f>
        <v>0</v>
      </c>
      <c r="I52" s="359">
        <f>'8'!I33-I58</f>
        <v>0</v>
      </c>
      <c r="J52" s="359">
        <f>'8'!J33-J58</f>
        <v>0</v>
      </c>
      <c r="K52" s="359">
        <f>'8'!K33-K58</f>
        <v>0</v>
      </c>
      <c r="L52" s="359">
        <f>'8'!L33-L58</f>
        <v>0</v>
      </c>
      <c r="N52" s="287" t="s">
        <v>400</v>
      </c>
    </row>
    <row r="53" spans="2:14" x14ac:dyDescent="0.3">
      <c r="B53" s="44" t="s">
        <v>712</v>
      </c>
      <c r="C53" s="18" t="s">
        <v>139</v>
      </c>
      <c r="D53" s="404">
        <f>'8'!D17+'8'!D19-'8'!D21-'8'!D24</f>
        <v>0</v>
      </c>
      <c r="E53" s="359">
        <f>'8'!E17+'8'!E19-'8'!E21-'8'!E24</f>
        <v>0</v>
      </c>
      <c r="F53" s="359">
        <f>'8'!F17+'8'!F19-'8'!F21-'8'!F24</f>
        <v>0</v>
      </c>
      <c r="G53" s="359">
        <f>'8'!G17+'8'!G19-'8'!G21-'8'!G24</f>
        <v>0</v>
      </c>
      <c r="H53" s="359">
        <f>'8'!H17+'8'!H19-'8'!H21-'8'!H24</f>
        <v>0</v>
      </c>
      <c r="I53" s="359">
        <f>'8'!I17+'8'!I19-'8'!I21-'8'!I24</f>
        <v>0</v>
      </c>
      <c r="J53" s="359">
        <f>'8'!J17+'8'!J19-'8'!J21-'8'!J24</f>
        <v>0</v>
      </c>
      <c r="K53" s="359">
        <f>'8'!K17+'8'!K19-'8'!K21-'8'!K24</f>
        <v>0</v>
      </c>
      <c r="L53" s="359">
        <f>'8'!L17+'8'!L19-'8'!L21-'8'!L24</f>
        <v>0</v>
      </c>
      <c r="M53" s="43"/>
      <c r="N53" s="287" t="s">
        <v>410</v>
      </c>
    </row>
    <row r="54" spans="2:14" x14ac:dyDescent="0.3">
      <c r="B54" s="44" t="s">
        <v>713</v>
      </c>
      <c r="C54" s="18" t="s">
        <v>140</v>
      </c>
      <c r="D54" s="323"/>
      <c r="E54" s="323"/>
      <c r="F54" s="323"/>
      <c r="G54" s="323"/>
      <c r="H54" s="323"/>
      <c r="I54" s="323"/>
      <c r="J54" s="323"/>
      <c r="K54" s="323"/>
      <c r="L54" s="323"/>
      <c r="N54" s="287"/>
    </row>
    <row r="55" spans="2:14" x14ac:dyDescent="0.3">
      <c r="B55" s="44" t="s">
        <v>714</v>
      </c>
      <c r="C55" s="18" t="s">
        <v>141</v>
      </c>
      <c r="D55" s="323"/>
      <c r="E55" s="323"/>
      <c r="F55" s="323"/>
      <c r="G55" s="323"/>
      <c r="H55" s="323"/>
      <c r="I55" s="323"/>
      <c r="J55" s="323"/>
      <c r="K55" s="323"/>
      <c r="L55" s="323"/>
      <c r="N55" s="287"/>
    </row>
    <row r="56" spans="2:14" ht="24" x14ac:dyDescent="0.3">
      <c r="B56" s="44" t="s">
        <v>721</v>
      </c>
      <c r="C56" s="18" t="s">
        <v>142</v>
      </c>
      <c r="D56" s="323"/>
      <c r="E56" s="323"/>
      <c r="F56" s="323"/>
      <c r="G56" s="323"/>
      <c r="H56" s="323"/>
      <c r="I56" s="323"/>
      <c r="J56" s="323"/>
      <c r="K56" s="323"/>
      <c r="L56" s="323"/>
      <c r="M56" s="122"/>
      <c r="N56" s="287" t="s">
        <v>539</v>
      </c>
    </row>
    <row r="57" spans="2:14" ht="36" x14ac:dyDescent="0.3">
      <c r="B57" s="44" t="s">
        <v>722</v>
      </c>
      <c r="C57" s="18" t="s">
        <v>967</v>
      </c>
      <c r="D57" s="359">
        <f t="shared" ref="D57:L57" si="13">SUM(D58:D64)</f>
        <v>0</v>
      </c>
      <c r="E57" s="359">
        <f t="shared" si="13"/>
        <v>0</v>
      </c>
      <c r="F57" s="359">
        <f t="shared" si="13"/>
        <v>0</v>
      </c>
      <c r="G57" s="359">
        <f t="shared" si="13"/>
        <v>0</v>
      </c>
      <c r="H57" s="359">
        <f t="shared" si="13"/>
        <v>0</v>
      </c>
      <c r="I57" s="359">
        <f t="shared" si="13"/>
        <v>0</v>
      </c>
      <c r="J57" s="359">
        <f t="shared" si="13"/>
        <v>0</v>
      </c>
      <c r="K57" s="359">
        <f t="shared" si="13"/>
        <v>0</v>
      </c>
      <c r="L57" s="359">
        <f t="shared" si="13"/>
        <v>0</v>
      </c>
      <c r="N57" s="287"/>
    </row>
    <row r="58" spans="2:14" x14ac:dyDescent="0.3">
      <c r="B58" s="44" t="s">
        <v>723</v>
      </c>
      <c r="C58" s="18" t="s">
        <v>138</v>
      </c>
      <c r="D58" s="359">
        <f>'8'!D34</f>
        <v>0</v>
      </c>
      <c r="E58" s="359">
        <f>'8'!E34</f>
        <v>0</v>
      </c>
      <c r="F58" s="359">
        <f>'8'!F34</f>
        <v>0</v>
      </c>
      <c r="G58" s="359">
        <f>'8'!G34</f>
        <v>0</v>
      </c>
      <c r="H58" s="359">
        <f>'8'!H34</f>
        <v>0</v>
      </c>
      <c r="I58" s="359">
        <f>'8'!I34</f>
        <v>0</v>
      </c>
      <c r="J58" s="359">
        <f>'8'!J34</f>
        <v>0</v>
      </c>
      <c r="K58" s="359">
        <f>'8'!K34</f>
        <v>0</v>
      </c>
      <c r="L58" s="359">
        <f>'8'!L34</f>
        <v>0</v>
      </c>
      <c r="M58" s="46"/>
      <c r="N58" s="287" t="s">
        <v>970</v>
      </c>
    </row>
    <row r="59" spans="2:14" x14ac:dyDescent="0.3">
      <c r="B59" s="44" t="s">
        <v>724</v>
      </c>
      <c r="C59" s="18" t="s">
        <v>139</v>
      </c>
      <c r="D59" s="404">
        <f>'8'!D18+'8'!D20-'8'!D22+'8'!D24</f>
        <v>0</v>
      </c>
      <c r="E59" s="359">
        <f>'8'!E18+'8'!E20-'8'!E22+'8'!E24</f>
        <v>0</v>
      </c>
      <c r="F59" s="359">
        <f>'8'!F18+'8'!F20-'8'!F22+'8'!F24</f>
        <v>0</v>
      </c>
      <c r="G59" s="359">
        <f>'8'!G18+'8'!G20-'8'!G22+'8'!G24</f>
        <v>0</v>
      </c>
      <c r="H59" s="359">
        <f>'8'!H18+'8'!H20-'8'!H22+'8'!H24</f>
        <v>0</v>
      </c>
      <c r="I59" s="359">
        <f>'8'!I18+'8'!I20-'8'!I22+'8'!I24</f>
        <v>0</v>
      </c>
      <c r="J59" s="359">
        <f>'8'!J18+'8'!J20-'8'!J22+'8'!J24</f>
        <v>0</v>
      </c>
      <c r="K59" s="359">
        <f>'8'!K18+'8'!K20-'8'!K22+'8'!K24</f>
        <v>0</v>
      </c>
      <c r="L59" s="359">
        <f>'8'!L18+'8'!L20-'8'!L22+'8'!L24</f>
        <v>0</v>
      </c>
      <c r="M59" s="43"/>
      <c r="N59" s="287" t="s">
        <v>411</v>
      </c>
    </row>
    <row r="60" spans="2:14" x14ac:dyDescent="0.3">
      <c r="B60" s="44" t="s">
        <v>725</v>
      </c>
      <c r="C60" s="18" t="s">
        <v>140</v>
      </c>
      <c r="D60" s="328"/>
      <c r="E60" s="328"/>
      <c r="F60" s="328"/>
      <c r="G60" s="328"/>
      <c r="H60" s="328"/>
      <c r="I60" s="328"/>
      <c r="J60" s="328"/>
      <c r="K60" s="328"/>
      <c r="L60" s="328"/>
      <c r="N60" s="287"/>
    </row>
    <row r="61" spans="2:14" x14ac:dyDescent="0.3">
      <c r="B61" s="44" t="s">
        <v>726</v>
      </c>
      <c r="C61" s="18" t="s">
        <v>141</v>
      </c>
      <c r="D61" s="328"/>
      <c r="E61" s="328"/>
      <c r="F61" s="328"/>
      <c r="G61" s="328"/>
      <c r="H61" s="328"/>
      <c r="I61" s="328"/>
      <c r="J61" s="328"/>
      <c r="K61" s="328"/>
      <c r="L61" s="328"/>
      <c r="N61" s="287"/>
    </row>
    <row r="62" spans="2:14" x14ac:dyDescent="0.3">
      <c r="B62" s="44" t="s">
        <v>727</v>
      </c>
      <c r="C62" s="18" t="s">
        <v>143</v>
      </c>
      <c r="D62" s="328"/>
      <c r="E62" s="328"/>
      <c r="F62" s="328"/>
      <c r="G62" s="328"/>
      <c r="H62" s="328"/>
      <c r="I62" s="328"/>
      <c r="J62" s="328"/>
      <c r="K62" s="328"/>
      <c r="L62" s="328"/>
      <c r="N62" s="287"/>
    </row>
    <row r="63" spans="2:14" x14ac:dyDescent="0.3">
      <c r="B63" s="44" t="s">
        <v>728</v>
      </c>
      <c r="C63" s="18" t="s">
        <v>144</v>
      </c>
      <c r="D63" s="328"/>
      <c r="E63" s="328"/>
      <c r="F63" s="328"/>
      <c r="G63" s="328"/>
      <c r="H63" s="328"/>
      <c r="I63" s="328"/>
      <c r="J63" s="328"/>
      <c r="K63" s="328"/>
      <c r="L63" s="328"/>
      <c r="N63" s="287"/>
    </row>
    <row r="64" spans="2:14" ht="24" x14ac:dyDescent="0.3">
      <c r="B64" s="44" t="s">
        <v>729</v>
      </c>
      <c r="C64" s="18" t="s">
        <v>145</v>
      </c>
      <c r="D64" s="328"/>
      <c r="E64" s="328"/>
      <c r="F64" s="328"/>
      <c r="G64" s="328"/>
      <c r="H64" s="328"/>
      <c r="I64" s="328"/>
      <c r="J64" s="328"/>
      <c r="K64" s="328"/>
      <c r="L64" s="328"/>
      <c r="N64" s="287" t="s">
        <v>540</v>
      </c>
    </row>
    <row r="65" spans="2:16" ht="34.200000000000003" x14ac:dyDescent="0.3">
      <c r="B65" s="133" t="s">
        <v>146</v>
      </c>
      <c r="C65" s="134" t="s">
        <v>147</v>
      </c>
      <c r="D65" s="333"/>
      <c r="E65" s="333"/>
      <c r="F65" s="333"/>
      <c r="G65" s="333"/>
      <c r="H65" s="333"/>
      <c r="I65" s="333"/>
      <c r="J65" s="333"/>
      <c r="K65" s="333"/>
      <c r="L65" s="333"/>
      <c r="N65" s="288"/>
    </row>
    <row r="66" spans="2:16" s="48" customFormat="1" ht="23.25" customHeight="1" x14ac:dyDescent="0.3">
      <c r="B66" s="213"/>
      <c r="C66" s="213" t="s">
        <v>534</v>
      </c>
      <c r="D66" s="184">
        <f t="shared" ref="D66:L66" si="14">SUM(D37,D48,D49,D50,D65)</f>
        <v>0</v>
      </c>
      <c r="E66" s="184">
        <f t="shared" si="14"/>
        <v>0</v>
      </c>
      <c r="F66" s="184">
        <f t="shared" si="14"/>
        <v>0</v>
      </c>
      <c r="G66" s="184">
        <f t="shared" si="14"/>
        <v>0</v>
      </c>
      <c r="H66" s="184">
        <f t="shared" si="14"/>
        <v>0</v>
      </c>
      <c r="I66" s="184">
        <f t="shared" si="14"/>
        <v>0</v>
      </c>
      <c r="J66" s="184">
        <f t="shared" si="14"/>
        <v>0</v>
      </c>
      <c r="K66" s="184">
        <f t="shared" si="14"/>
        <v>0</v>
      </c>
      <c r="L66" s="184">
        <f t="shared" si="14"/>
        <v>0</v>
      </c>
      <c r="M66" s="47"/>
      <c r="N66" s="287"/>
      <c r="P66" s="3"/>
    </row>
  </sheetData>
  <sheetProtection algorithmName="SHA-512" hashValue="MwKAUnUR8tb9OK0gW8NP8p57rButLpLbo1K03DjsTLfqbJN1PryKuUuT56WvbKhU2jHli5Fguc8hzxX4OO95cg==" saltValue="RQNFH+YutzmgtWx3XCUOZw==" spinCount="100000" sheet="1" objects="1" scenarios="1" formatRows="0" insertRows="0"/>
  <mergeCells count="3">
    <mergeCell ref="B5:B6"/>
    <mergeCell ref="C5:C6"/>
    <mergeCell ref="E5:L5"/>
  </mergeCells>
  <conditionalFormatting sqref="D39">
    <cfRule type="expression" dxfId="38" priority="5">
      <formula>ABS(D$13)&gt;D$12</formula>
    </cfRule>
  </conditionalFormatting>
  <conditionalFormatting sqref="D46">
    <cfRule type="expression" dxfId="37" priority="1">
      <formula>ABS(D$13)&gt;D$12</formula>
    </cfRule>
  </conditionalFormatting>
  <conditionalFormatting sqref="D53">
    <cfRule type="expression" dxfId="36" priority="4">
      <formula>ABS(D$13)&gt;D$12</formula>
    </cfRule>
  </conditionalFormatting>
  <conditionalFormatting sqref="D59">
    <cfRule type="expression" dxfId="35" priority="3">
      <formula>ABS(D$13)&gt;D$12</formula>
    </cfRule>
  </conditionalFormatting>
  <conditionalFormatting sqref="D2:L2">
    <cfRule type="cellIs" dxfId="34" priority="16" operator="between">
      <formula>0.0001</formula>
      <formula>3</formula>
    </cfRule>
    <cfRule type="cellIs" dxfId="33" priority="17" operator="between">
      <formula>-3</formula>
      <formula>-0.0001</formula>
    </cfRule>
    <cfRule type="cellIs" dxfId="32" priority="18" operator="lessThan">
      <formula>-3</formula>
    </cfRule>
    <cfRule type="cellIs" dxfId="31" priority="19" operator="greaterThan">
      <formula>3</formula>
    </cfRule>
  </conditionalFormatting>
  <conditionalFormatting sqref="D6:L6">
    <cfRule type="expression" dxfId="30" priority="9">
      <formula>D6="-"</formula>
    </cfRule>
  </conditionalFormatting>
  <conditionalFormatting sqref="E32:L32">
    <cfRule type="expression" dxfId="28" priority="6">
      <formula>E$32&lt;0</formula>
    </cfRule>
  </conditionalFormatting>
  <conditionalFormatting sqref="E48:L48">
    <cfRule type="expression" dxfId="27" priority="11">
      <formula>E48&lt;0</formula>
    </cfRule>
  </conditionalFormatting>
  <conditionalFormatting sqref="N2">
    <cfRule type="expression" dxfId="26" priority="12">
      <formula>ISNUMBER(SEARCH("Klaida", N2))</formula>
    </cfRule>
  </conditionalFormatting>
  <conditionalFormatting sqref="N32:N33">
    <cfRule type="expression" dxfId="25" priority="2">
      <formula>ISNUMBER(SEARCH("Klaida", N32))</formula>
    </cfRule>
  </conditionalFormatting>
  <conditionalFormatting sqref="N48">
    <cfRule type="expression" dxfId="24" priority="8">
      <formula>ISNUMBER(SEARCH("Klaida", N48))</formula>
    </cfRule>
  </conditionalFormatting>
  <pageMargins left="0.70866141732283472" right="0.70866141732283472" top="0.74803149606299213" bottom="0.74803149606299213" header="0.31496062992125984" footer="0.31496062992125984"/>
  <pageSetup paperSize="9" pageOrder="overThenDown" orientation="landscape" r:id="rId1"/>
  <extLst>
    <ext xmlns:x14="http://schemas.microsoft.com/office/spreadsheetml/2009/9/main" uri="{78C0D931-6437-407d-A8EE-F0AAD7539E65}">
      <x14:conditionalFormattings>
        <x14:conditionalFormatting xmlns:xm="http://schemas.microsoft.com/office/excel/2006/main">
          <x14:cfRule type="expression" priority="10" id="{A9EAA6C5-0096-41D2-BFD2-B3AFD0915159}">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apas13">
    <tabColor theme="8" tint="-0.499984740745262"/>
  </sheetPr>
  <dimension ref="B1:N30"/>
  <sheetViews>
    <sheetView topLeftCell="B1" zoomScale="123" zoomScaleNormal="150" workbookViewId="0">
      <pane xSplit="2" ySplit="6" topLeftCell="D7" activePane="bottomRight" state="frozen"/>
      <selection activeCell="B14" sqref="B14:L14"/>
      <selection pane="topRight" activeCell="B14" sqref="B14:L14"/>
      <selection pane="bottomLeft" activeCell="B14" sqref="B14:L14"/>
      <selection pane="bottomRight" activeCell="C36" sqref="C36"/>
    </sheetView>
  </sheetViews>
  <sheetFormatPr defaultColWidth="8.6640625" defaultRowHeight="13.8" x14ac:dyDescent="0.3"/>
  <cols>
    <col min="1" max="1" width="0" style="3" hidden="1" customWidth="1"/>
    <col min="2" max="2" width="5.88671875" style="3" customWidth="1"/>
    <col min="3" max="3" width="32.44140625" style="1" customWidth="1"/>
    <col min="4" max="12" width="10" style="3" customWidth="1"/>
    <col min="13" max="13" width="4.5546875" style="49" customWidth="1"/>
    <col min="14" max="14" width="44.109375" style="3" customWidth="1"/>
    <col min="15" max="16384" width="8.6640625" style="3"/>
  </cols>
  <sheetData>
    <row r="1" spans="2:14" x14ac:dyDescent="0.3">
      <c r="B1" s="140" t="s">
        <v>59</v>
      </c>
      <c r="C1" s="165" t="s">
        <v>89</v>
      </c>
      <c r="D1" s="140"/>
      <c r="E1" s="140"/>
      <c r="F1" s="140"/>
      <c r="G1" s="140"/>
      <c r="H1" s="140"/>
      <c r="I1" s="140"/>
      <c r="J1" s="140"/>
      <c r="K1" s="140"/>
      <c r="L1" s="140"/>
      <c r="N1" s="284" t="s">
        <v>293</v>
      </c>
    </row>
    <row r="2" spans="2:14" x14ac:dyDescent="0.3">
      <c r="C2" s="38" t="s">
        <v>90</v>
      </c>
      <c r="D2" s="39">
        <f>+'9.1'!D2</f>
        <v>0</v>
      </c>
      <c r="E2" s="39">
        <f>+'9.1'!E2</f>
        <v>0</v>
      </c>
      <c r="F2" s="39">
        <f>+'9.1'!F2</f>
        <v>0</v>
      </c>
      <c r="G2" s="39">
        <f>+'9.1'!G2</f>
        <v>0</v>
      </c>
      <c r="H2" s="39">
        <f>+'9.1'!H2</f>
        <v>0</v>
      </c>
      <c r="I2" s="39">
        <f>+'9.1'!I2</f>
        <v>0</v>
      </c>
      <c r="J2" s="39">
        <f>+'9.1'!J2</f>
        <v>0</v>
      </c>
      <c r="K2" s="39">
        <f>+'9.1'!K2</f>
        <v>0</v>
      </c>
      <c r="L2" s="39">
        <f>+'9.1'!L2</f>
        <v>0</v>
      </c>
      <c r="N2" s="270" t="str">
        <f>IF((COUNTIFS(D2:L2,"&gt;3")+COUNTIFS(D2:L2,"&lt;-3"))&gt;0,"Patikrinkite duomenis, turtas iš viso nėra lygus nuosavybei ir įsipareigojimams iš viso","ok")</f>
        <v>ok</v>
      </c>
    </row>
    <row r="3" spans="2:14" x14ac:dyDescent="0.3">
      <c r="B3" s="140" t="s">
        <v>393</v>
      </c>
      <c r="C3" s="264" t="s">
        <v>781</v>
      </c>
      <c r="D3" s="140"/>
      <c r="E3" s="140"/>
      <c r="F3" s="140"/>
      <c r="G3" s="140"/>
      <c r="H3" s="140"/>
      <c r="I3" s="140"/>
      <c r="J3" s="140"/>
      <c r="K3" s="140"/>
      <c r="L3" s="140"/>
      <c r="M3" s="40"/>
      <c r="N3" s="287"/>
    </row>
    <row r="4" spans="2:14" x14ac:dyDescent="0.3">
      <c r="N4" s="287"/>
    </row>
    <row r="5" spans="2:14" ht="22.8" x14ac:dyDescent="0.3">
      <c r="B5" s="526" t="s">
        <v>22</v>
      </c>
      <c r="C5" s="475" t="s">
        <v>44</v>
      </c>
      <c r="D5" s="131" t="str">
        <f>IF(AND('1'!$C$22="Verslo pradžia",YEAR('1'!$E$22)=YEAR('1'!$C$11)),"Pradžios metai","Ataskaitiniai metai")</f>
        <v>Pradžios metai</v>
      </c>
      <c r="E5" s="464" t="s">
        <v>12</v>
      </c>
      <c r="F5" s="465"/>
      <c r="G5" s="465"/>
      <c r="H5" s="465"/>
      <c r="I5" s="465"/>
      <c r="J5" s="465"/>
      <c r="K5" s="465"/>
      <c r="L5" s="465"/>
      <c r="N5" s="287"/>
    </row>
    <row r="6" spans="2:14" ht="14.4" thickBot="1" x14ac:dyDescent="0.35">
      <c r="B6" s="527"/>
      <c r="C6" s="476"/>
      <c r="D6" s="56">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c r="N6" s="287"/>
    </row>
    <row r="7" spans="2:14" ht="24.6" thickTop="1" x14ac:dyDescent="0.3">
      <c r="B7" s="50" t="s">
        <v>401</v>
      </c>
      <c r="C7" s="51" t="s">
        <v>149</v>
      </c>
      <c r="D7" s="87">
        <f>SUM(D8:D11)</f>
        <v>0</v>
      </c>
      <c r="E7" s="358">
        <f t="shared" ref="E7:L7" si="0">SUM(E8:E11)</f>
        <v>0</v>
      </c>
      <c r="F7" s="358">
        <f t="shared" si="0"/>
        <v>0</v>
      </c>
      <c r="G7" s="358">
        <f t="shared" si="0"/>
        <v>0</v>
      </c>
      <c r="H7" s="358">
        <f t="shared" si="0"/>
        <v>0</v>
      </c>
      <c r="I7" s="358">
        <f t="shared" si="0"/>
        <v>0</v>
      </c>
      <c r="J7" s="358">
        <f t="shared" si="0"/>
        <v>0</v>
      </c>
      <c r="K7" s="358">
        <f t="shared" si="0"/>
        <v>0</v>
      </c>
      <c r="L7" s="358">
        <f t="shared" si="0"/>
        <v>0</v>
      </c>
      <c r="M7" s="52"/>
      <c r="N7" s="287"/>
    </row>
    <row r="8" spans="2:14" x14ac:dyDescent="0.3">
      <c r="B8" s="21" t="s">
        <v>402</v>
      </c>
      <c r="C8" s="53" t="s">
        <v>238</v>
      </c>
      <c r="D8" s="87">
        <f>'4'!D7</f>
        <v>0</v>
      </c>
      <c r="E8" s="358">
        <f>'4'!E7</f>
        <v>0</v>
      </c>
      <c r="F8" s="358">
        <f>'4'!F7</f>
        <v>0</v>
      </c>
      <c r="G8" s="358">
        <f>'4'!G7</f>
        <v>0</v>
      </c>
      <c r="H8" s="358">
        <f>'4'!H7</f>
        <v>0</v>
      </c>
      <c r="I8" s="358">
        <f>'4'!I7</f>
        <v>0</v>
      </c>
      <c r="J8" s="358">
        <f>'4'!J7</f>
        <v>0</v>
      </c>
      <c r="K8" s="358">
        <f>'4'!K7</f>
        <v>0</v>
      </c>
      <c r="L8" s="358">
        <f>'4'!L7</f>
        <v>0</v>
      </c>
      <c r="M8" s="52"/>
      <c r="N8" s="287"/>
    </row>
    <row r="9" spans="2:14" x14ac:dyDescent="0.3">
      <c r="B9" s="21" t="s">
        <v>556</v>
      </c>
      <c r="C9" s="53" t="s">
        <v>239</v>
      </c>
      <c r="D9" s="87">
        <f>'4'!D8</f>
        <v>0</v>
      </c>
      <c r="E9" s="358">
        <f>'4'!E8</f>
        <v>0</v>
      </c>
      <c r="F9" s="358">
        <f>'4'!F8</f>
        <v>0</v>
      </c>
      <c r="G9" s="358">
        <f>'4'!G8</f>
        <v>0</v>
      </c>
      <c r="H9" s="358">
        <f>'4'!H8</f>
        <v>0</v>
      </c>
      <c r="I9" s="358">
        <f>'4'!I8</f>
        <v>0</v>
      </c>
      <c r="J9" s="358">
        <f>'4'!J8</f>
        <v>0</v>
      </c>
      <c r="K9" s="358">
        <f>'4'!K8</f>
        <v>0</v>
      </c>
      <c r="L9" s="358">
        <f>'4'!L8</f>
        <v>0</v>
      </c>
      <c r="M9" s="52"/>
      <c r="N9" s="287"/>
    </row>
    <row r="10" spans="2:14" x14ac:dyDescent="0.3">
      <c r="B10" s="21" t="s">
        <v>557</v>
      </c>
      <c r="C10" s="53" t="s">
        <v>241</v>
      </c>
      <c r="D10" s="87">
        <f>+'4'!D9</f>
        <v>0</v>
      </c>
      <c r="E10" s="358">
        <f>+'4'!E9</f>
        <v>0</v>
      </c>
      <c r="F10" s="358">
        <f>+'4'!F9</f>
        <v>0</v>
      </c>
      <c r="G10" s="358">
        <f>+'4'!G9</f>
        <v>0</v>
      </c>
      <c r="H10" s="358">
        <f>+'4'!H9</f>
        <v>0</v>
      </c>
      <c r="I10" s="358">
        <f>+'4'!I9</f>
        <v>0</v>
      </c>
      <c r="J10" s="358">
        <f>+'4'!J9</f>
        <v>0</v>
      </c>
      <c r="K10" s="358">
        <f>+'4'!K9</f>
        <v>0</v>
      </c>
      <c r="L10" s="358">
        <f>+'4'!L9</f>
        <v>0</v>
      </c>
      <c r="M10" s="52"/>
      <c r="N10" s="287"/>
    </row>
    <row r="11" spans="2:14" x14ac:dyDescent="0.3">
      <c r="B11" s="21" t="s">
        <v>558</v>
      </c>
      <c r="C11" s="53" t="s">
        <v>150</v>
      </c>
      <c r="D11" s="86"/>
      <c r="E11" s="328"/>
      <c r="F11" s="328"/>
      <c r="G11" s="328"/>
      <c r="H11" s="328"/>
      <c r="I11" s="328"/>
      <c r="J11" s="328"/>
      <c r="K11" s="328"/>
      <c r="L11" s="328"/>
      <c r="M11" s="52"/>
      <c r="N11" s="287"/>
    </row>
    <row r="12" spans="2:14" x14ac:dyDescent="0.3">
      <c r="B12" s="21" t="s">
        <v>403</v>
      </c>
      <c r="C12" s="13" t="s">
        <v>151</v>
      </c>
      <c r="D12" s="199">
        <f>-'7'!C14</f>
        <v>0</v>
      </c>
      <c r="E12" s="359">
        <f>-'7'!D14</f>
        <v>0</v>
      </c>
      <c r="F12" s="359">
        <f>-'7'!E14</f>
        <v>0</v>
      </c>
      <c r="G12" s="359">
        <f>-'7'!F14</f>
        <v>0</v>
      </c>
      <c r="H12" s="359">
        <f>-'7'!G14</f>
        <v>0</v>
      </c>
      <c r="I12" s="359">
        <f>-'7'!H14</f>
        <v>0</v>
      </c>
      <c r="J12" s="359">
        <f>-'7'!I14</f>
        <v>0</v>
      </c>
      <c r="K12" s="359">
        <f>-'7'!J14</f>
        <v>0</v>
      </c>
      <c r="L12" s="359">
        <f>-'7'!K14</f>
        <v>0</v>
      </c>
      <c r="N12" s="287"/>
    </row>
    <row r="13" spans="2:14" x14ac:dyDescent="0.3">
      <c r="B13" s="21" t="s">
        <v>559</v>
      </c>
      <c r="C13" s="53" t="s">
        <v>152</v>
      </c>
      <c r="D13" s="86"/>
      <c r="E13" s="328"/>
      <c r="F13" s="328"/>
      <c r="G13" s="328"/>
      <c r="H13" s="328"/>
      <c r="I13" s="328"/>
      <c r="J13" s="328"/>
      <c r="K13" s="328"/>
      <c r="L13" s="328"/>
      <c r="M13" s="52"/>
      <c r="N13" s="287"/>
    </row>
    <row r="14" spans="2:14" x14ac:dyDescent="0.3">
      <c r="B14" s="21" t="s">
        <v>560</v>
      </c>
      <c r="C14" s="13" t="s">
        <v>153</v>
      </c>
      <c r="D14" s="199">
        <f>SUM(D7,D12,D13)</f>
        <v>0</v>
      </c>
      <c r="E14" s="359">
        <f t="shared" ref="E14:L14" si="1">SUM(E7,E12,E13)</f>
        <v>0</v>
      </c>
      <c r="F14" s="359">
        <f t="shared" si="1"/>
        <v>0</v>
      </c>
      <c r="G14" s="359">
        <f t="shared" si="1"/>
        <v>0</v>
      </c>
      <c r="H14" s="359">
        <f t="shared" si="1"/>
        <v>0</v>
      </c>
      <c r="I14" s="359">
        <f t="shared" si="1"/>
        <v>0</v>
      </c>
      <c r="J14" s="359">
        <f t="shared" si="1"/>
        <v>0</v>
      </c>
      <c r="K14" s="359">
        <f t="shared" si="1"/>
        <v>0</v>
      </c>
      <c r="L14" s="359">
        <f t="shared" si="1"/>
        <v>0</v>
      </c>
      <c r="N14" s="287"/>
    </row>
    <row r="15" spans="2:14" x14ac:dyDescent="0.3">
      <c r="B15" s="21" t="s">
        <v>561</v>
      </c>
      <c r="C15" s="13" t="s">
        <v>154</v>
      </c>
      <c r="D15" s="199">
        <f>-'7'!C21</f>
        <v>0</v>
      </c>
      <c r="E15" s="359">
        <f>-'7'!D21</f>
        <v>0</v>
      </c>
      <c r="F15" s="359">
        <f>-'7'!E21</f>
        <v>0</v>
      </c>
      <c r="G15" s="359">
        <f>-'7'!F21</f>
        <v>0</v>
      </c>
      <c r="H15" s="359">
        <f>-'7'!G21</f>
        <v>0</v>
      </c>
      <c r="I15" s="359">
        <f>-'7'!H21</f>
        <v>0</v>
      </c>
      <c r="J15" s="359">
        <f>-'7'!I21</f>
        <v>0</v>
      </c>
      <c r="K15" s="359">
        <f>-'7'!J21</f>
        <v>0</v>
      </c>
      <c r="L15" s="359">
        <f>-'7'!K21</f>
        <v>0</v>
      </c>
      <c r="N15" s="287"/>
    </row>
    <row r="16" spans="2:14" x14ac:dyDescent="0.3">
      <c r="B16" s="21" t="s">
        <v>562</v>
      </c>
      <c r="C16" s="13" t="s">
        <v>155</v>
      </c>
      <c r="D16" s="199">
        <f>-'7'!C29</f>
        <v>0</v>
      </c>
      <c r="E16" s="359">
        <f>-'7'!D29</f>
        <v>0</v>
      </c>
      <c r="F16" s="359">
        <f>-'7'!E29</f>
        <v>0</v>
      </c>
      <c r="G16" s="359">
        <f>-'7'!F29</f>
        <v>0</v>
      </c>
      <c r="H16" s="359">
        <f>-'7'!G29</f>
        <v>0</v>
      </c>
      <c r="I16" s="359">
        <f>-'7'!H29</f>
        <v>0</v>
      </c>
      <c r="J16" s="359">
        <f>-'7'!I29</f>
        <v>0</v>
      </c>
      <c r="K16" s="359">
        <f>-'7'!J29</f>
        <v>0</v>
      </c>
      <c r="L16" s="359">
        <f>-'7'!K29</f>
        <v>0</v>
      </c>
      <c r="N16" s="287"/>
    </row>
    <row r="17" spans="2:14" ht="24" x14ac:dyDescent="0.3">
      <c r="B17" s="21" t="s">
        <v>563</v>
      </c>
      <c r="C17" s="53" t="s">
        <v>542</v>
      </c>
      <c r="D17" s="199">
        <f>SUM(D14:D16)</f>
        <v>0</v>
      </c>
      <c r="E17" s="359">
        <f t="shared" ref="E17:L17" si="2">SUM(E14:E16)</f>
        <v>0</v>
      </c>
      <c r="F17" s="359">
        <f t="shared" si="2"/>
        <v>0</v>
      </c>
      <c r="G17" s="359">
        <f t="shared" si="2"/>
        <v>0</v>
      </c>
      <c r="H17" s="359">
        <f t="shared" si="2"/>
        <v>0</v>
      </c>
      <c r="I17" s="359">
        <f t="shared" si="2"/>
        <v>0</v>
      </c>
      <c r="J17" s="359">
        <f t="shared" si="2"/>
        <v>0</v>
      </c>
      <c r="K17" s="359">
        <f t="shared" si="2"/>
        <v>0</v>
      </c>
      <c r="L17" s="359">
        <f t="shared" si="2"/>
        <v>0</v>
      </c>
      <c r="N17" s="287"/>
    </row>
    <row r="18" spans="2:14" x14ac:dyDescent="0.3">
      <c r="B18" s="21" t="s">
        <v>564</v>
      </c>
      <c r="C18" s="53" t="s">
        <v>156</v>
      </c>
      <c r="D18" s="86"/>
      <c r="E18" s="328"/>
      <c r="F18" s="328"/>
      <c r="G18" s="328"/>
      <c r="H18" s="328"/>
      <c r="I18" s="328"/>
      <c r="J18" s="328"/>
      <c r="K18" s="328"/>
      <c r="L18" s="199"/>
      <c r="N18" s="287" t="s">
        <v>546</v>
      </c>
    </row>
    <row r="19" spans="2:14" x14ac:dyDescent="0.3">
      <c r="B19" s="21" t="s">
        <v>565</v>
      </c>
      <c r="C19" s="53" t="s">
        <v>543</v>
      </c>
      <c r="D19" s="86"/>
      <c r="E19" s="328"/>
      <c r="F19" s="328"/>
      <c r="G19" s="328"/>
      <c r="H19" s="328"/>
      <c r="I19" s="328"/>
      <c r="J19" s="328"/>
      <c r="K19" s="328"/>
      <c r="L19" s="328"/>
      <c r="N19" s="287" t="s">
        <v>545</v>
      </c>
    </row>
    <row r="20" spans="2:14" ht="24" x14ac:dyDescent="0.3">
      <c r="B20" s="21" t="s">
        <v>567</v>
      </c>
      <c r="C20" s="53" t="s">
        <v>893</v>
      </c>
      <c r="D20" s="86"/>
      <c r="E20" s="328"/>
      <c r="F20" s="328"/>
      <c r="G20" s="328"/>
      <c r="H20" s="328"/>
      <c r="I20" s="328"/>
      <c r="J20" s="328"/>
      <c r="K20" s="328"/>
      <c r="L20" s="328"/>
      <c r="N20" s="287" t="s">
        <v>547</v>
      </c>
    </row>
    <row r="21" spans="2:14" x14ac:dyDescent="0.3">
      <c r="B21" s="21" t="s">
        <v>568</v>
      </c>
      <c r="C21" s="13" t="s">
        <v>544</v>
      </c>
      <c r="D21" s="199">
        <f>-('8'!D25 + '8'!D35)</f>
        <v>0</v>
      </c>
      <c r="E21" s="359">
        <f>-('8'!E25 + '8'!E35)</f>
        <v>0</v>
      </c>
      <c r="F21" s="359">
        <f>-('8'!F25 + '8'!F35)</f>
        <v>0</v>
      </c>
      <c r="G21" s="359">
        <f>-('8'!G25 + '8'!G35)</f>
        <v>0</v>
      </c>
      <c r="H21" s="359">
        <f>-('8'!H25 + '8'!H35)</f>
        <v>0</v>
      </c>
      <c r="I21" s="359">
        <f>-('8'!I25 + '8'!I35)</f>
        <v>0</v>
      </c>
      <c r="J21" s="359">
        <f>-('8'!J25 + '8'!J35)</f>
        <v>0</v>
      </c>
      <c r="K21" s="359">
        <f>-('8'!K25 + '8'!K35)</f>
        <v>0</v>
      </c>
      <c r="L21" s="359">
        <f>-('8'!L25 + '8'!L35)</f>
        <v>0</v>
      </c>
      <c r="N21" s="287"/>
    </row>
    <row r="22" spans="2:14" ht="24" x14ac:dyDescent="0.3">
      <c r="B22" s="21" t="s">
        <v>566</v>
      </c>
      <c r="C22" s="13" t="s">
        <v>158</v>
      </c>
      <c r="D22" s="199">
        <f>SUM(D17:D21)</f>
        <v>0</v>
      </c>
      <c r="E22" s="359">
        <f t="shared" ref="E22:L22" si="3">SUM(E17:E21)</f>
        <v>0</v>
      </c>
      <c r="F22" s="359">
        <f t="shared" si="3"/>
        <v>0</v>
      </c>
      <c r="G22" s="359">
        <f t="shared" si="3"/>
        <v>0</v>
      </c>
      <c r="H22" s="359">
        <f t="shared" si="3"/>
        <v>0</v>
      </c>
      <c r="I22" s="359">
        <f t="shared" si="3"/>
        <v>0</v>
      </c>
      <c r="J22" s="359">
        <f t="shared" si="3"/>
        <v>0</v>
      </c>
      <c r="K22" s="359">
        <f t="shared" si="3"/>
        <v>0</v>
      </c>
      <c r="L22" s="359">
        <f t="shared" si="3"/>
        <v>0</v>
      </c>
      <c r="N22" s="287"/>
    </row>
    <row r="23" spans="2:14" x14ac:dyDescent="0.3">
      <c r="B23" s="21" t="s">
        <v>569</v>
      </c>
      <c r="C23" s="53" t="s">
        <v>159</v>
      </c>
      <c r="D23" s="86"/>
      <c r="E23" s="364">
        <f t="shared" ref="E23:L23" si="4">IF((E22-E11)&lt;0,0,-((E22-E11)*E26))</f>
        <v>0</v>
      </c>
      <c r="F23" s="364">
        <f t="shared" si="4"/>
        <v>0</v>
      </c>
      <c r="G23" s="364">
        <f t="shared" si="4"/>
        <v>0</v>
      </c>
      <c r="H23" s="364">
        <f t="shared" si="4"/>
        <v>0</v>
      </c>
      <c r="I23" s="364">
        <f t="shared" si="4"/>
        <v>0</v>
      </c>
      <c r="J23" s="364">
        <f t="shared" si="4"/>
        <v>0</v>
      </c>
      <c r="K23" s="364">
        <f t="shared" si="4"/>
        <v>0</v>
      </c>
      <c r="L23" s="364">
        <f t="shared" si="4"/>
        <v>0</v>
      </c>
      <c r="N23" s="287"/>
    </row>
    <row r="24" spans="2:14" x14ac:dyDescent="0.3">
      <c r="B24" s="215" t="s">
        <v>570</v>
      </c>
      <c r="C24" s="216" t="s">
        <v>680</v>
      </c>
      <c r="D24" s="217">
        <f t="shared" ref="D24:L24" si="5">SUM(D22,D23)</f>
        <v>0</v>
      </c>
      <c r="E24" s="365">
        <f t="shared" si="5"/>
        <v>0</v>
      </c>
      <c r="F24" s="365">
        <f t="shared" si="5"/>
        <v>0</v>
      </c>
      <c r="G24" s="365">
        <f t="shared" si="5"/>
        <v>0</v>
      </c>
      <c r="H24" s="365">
        <f t="shared" si="5"/>
        <v>0</v>
      </c>
      <c r="I24" s="365">
        <f t="shared" si="5"/>
        <v>0</v>
      </c>
      <c r="J24" s="365">
        <f t="shared" si="5"/>
        <v>0</v>
      </c>
      <c r="K24" s="365">
        <f t="shared" si="5"/>
        <v>0</v>
      </c>
      <c r="L24" s="365">
        <f t="shared" si="5"/>
        <v>0</v>
      </c>
      <c r="N24" s="287"/>
    </row>
    <row r="25" spans="2:14" x14ac:dyDescent="0.3">
      <c r="D25" s="110"/>
      <c r="E25" s="110"/>
      <c r="F25" s="110"/>
      <c r="G25" s="110"/>
      <c r="H25" s="110"/>
      <c r="I25" s="110"/>
      <c r="J25" s="110"/>
      <c r="K25" s="110"/>
      <c r="L25" s="110"/>
      <c r="N25" s="287"/>
    </row>
    <row r="26" spans="2:14" x14ac:dyDescent="0.3">
      <c r="B26" s="21" t="s">
        <v>571</v>
      </c>
      <c r="C26" s="13" t="s">
        <v>395</v>
      </c>
      <c r="D26" s="405" t="str">
        <f>IFERROR(-D23/D22,"-")</f>
        <v>-</v>
      </c>
      <c r="E26" s="335">
        <v>0.15</v>
      </c>
      <c r="F26" s="335">
        <v>0.15</v>
      </c>
      <c r="G26" s="335">
        <v>0.15</v>
      </c>
      <c r="H26" s="335">
        <v>0.15</v>
      </c>
      <c r="I26" s="335">
        <v>0.15</v>
      </c>
      <c r="J26" s="335">
        <v>0.15</v>
      </c>
      <c r="K26" s="335">
        <v>0.15</v>
      </c>
      <c r="L26" s="335">
        <v>0.15</v>
      </c>
      <c r="N26" s="287"/>
    </row>
    <row r="27" spans="2:14" ht="28.95" customHeight="1" x14ac:dyDescent="0.3">
      <c r="B27" s="21" t="s">
        <v>572</v>
      </c>
      <c r="C27" s="13" t="s">
        <v>396</v>
      </c>
      <c r="D27" s="528"/>
      <c r="E27" s="529"/>
      <c r="F27" s="529"/>
      <c r="G27" s="529"/>
      <c r="H27" s="529"/>
      <c r="I27" s="529"/>
      <c r="J27" s="529"/>
      <c r="K27" s="529"/>
      <c r="L27" s="529"/>
      <c r="N27" s="289" t="s">
        <v>971</v>
      </c>
    </row>
    <row r="30" spans="2:14" x14ac:dyDescent="0.3">
      <c r="D30" s="110"/>
    </row>
  </sheetData>
  <sheetProtection algorithmName="SHA-512" hashValue="LkJjPAx2YlHMrfyecLS2E782DSZIw4a2S3X+qaMzvcouAIVsBOJSu8rQAmOTaJq7+tjrzQO93koQEHHoFMOGqQ==" saltValue="4OzQJO62TFe4ZCcDlc4U1Q==" spinCount="100000" sheet="1" objects="1" scenarios="1" formatRows="0" insertRows="0"/>
  <mergeCells count="4">
    <mergeCell ref="B5:B6"/>
    <mergeCell ref="C5:C6"/>
    <mergeCell ref="E5:L5"/>
    <mergeCell ref="D27:L27"/>
  </mergeCells>
  <phoneticPr fontId="12" type="noConversion"/>
  <conditionalFormatting sqref="D2:L2">
    <cfRule type="cellIs" dxfId="23" priority="12" operator="between">
      <formula>0.0001</formula>
      <formula>3</formula>
    </cfRule>
    <cfRule type="cellIs" dxfId="22" priority="13" operator="between">
      <formula>-3</formula>
      <formula>-0.0001</formula>
    </cfRule>
    <cfRule type="cellIs" dxfId="21" priority="14" operator="lessThan">
      <formula>-3</formula>
    </cfRule>
    <cfRule type="cellIs" dxfId="20" priority="15" operator="greaterThan">
      <formula>3</formula>
    </cfRule>
  </conditionalFormatting>
  <conditionalFormatting sqref="D6:L6">
    <cfRule type="expression" dxfId="19" priority="1">
      <formula>D6="-"</formula>
    </cfRule>
  </conditionalFormatting>
  <conditionalFormatting sqref="N2">
    <cfRule type="expression" dxfId="17" priority="8">
      <formula>N2&lt;&gt;"ok"</formula>
    </cfRule>
  </conditionalFormatting>
  <dataValidations count="1">
    <dataValidation type="whole" operator="lessThan" allowBlank="1" showInputMessage="1" showErrorMessage="1" error="Įveskite neigiamą skaičių" prompt="Įveskite neigiamą skaičių" sqref="D23 D20:L20" xr:uid="{FE24FBA5-A485-479B-8529-D8D8941D164D}">
      <formula1>0</formula1>
    </dataValidation>
  </dataValidations>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FBFF10BF-6271-4207-9D4F-F695B1ABC162}">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apas14">
    <tabColor theme="8" tint="-0.499984740745262"/>
  </sheetPr>
  <dimension ref="A1:N65"/>
  <sheetViews>
    <sheetView topLeftCell="B1" zoomScale="130" zoomScaleNormal="130" workbookViewId="0">
      <pane xSplit="2" ySplit="6" topLeftCell="D7" activePane="bottomRight" state="frozen"/>
      <selection activeCell="B14" sqref="B14:L14"/>
      <selection pane="topRight" activeCell="B14" sqref="B14:L14"/>
      <selection pane="bottomLeft" activeCell="B14" sqref="B14:L14"/>
      <selection pane="bottomRight" activeCell="H11" sqref="H11"/>
    </sheetView>
  </sheetViews>
  <sheetFormatPr defaultColWidth="8.6640625" defaultRowHeight="13.8" x14ac:dyDescent="0.3"/>
  <cols>
    <col min="1" max="1" width="0" style="3" hidden="1" customWidth="1"/>
    <col min="2" max="2" width="6.33203125" style="3" customWidth="1"/>
    <col min="3" max="3" width="33.44140625" style="1" customWidth="1"/>
    <col min="4" max="12" width="10" style="3" customWidth="1"/>
    <col min="13" max="13" width="4.44140625" style="4" customWidth="1"/>
    <col min="14" max="14" width="43.5546875" style="3" customWidth="1"/>
    <col min="15" max="16384" width="8.6640625" style="3"/>
  </cols>
  <sheetData>
    <row r="1" spans="1:14" ht="14.4" x14ac:dyDescent="0.3">
      <c r="B1" s="140" t="s">
        <v>59</v>
      </c>
      <c r="C1" s="165" t="s">
        <v>89</v>
      </c>
      <c r="D1" s="140"/>
      <c r="E1" s="140"/>
      <c r="F1" s="140"/>
      <c r="G1" s="140"/>
      <c r="H1" s="140"/>
      <c r="I1" s="140"/>
      <c r="J1" s="140"/>
      <c r="K1" s="140"/>
      <c r="L1" s="140"/>
      <c r="N1" s="275" t="s">
        <v>293</v>
      </c>
    </row>
    <row r="2" spans="1:14" ht="14.4" x14ac:dyDescent="0.3">
      <c r="C2" s="38" t="s">
        <v>90</v>
      </c>
      <c r="D2" s="39">
        <f>'9.1'!D2</f>
        <v>0</v>
      </c>
      <c r="E2" s="39">
        <f>'9.1'!E2</f>
        <v>0</v>
      </c>
      <c r="F2" s="39">
        <f>'9.1'!F2</f>
        <v>0</v>
      </c>
      <c r="G2" s="39">
        <f>'9.1'!G2</f>
        <v>0</v>
      </c>
      <c r="H2" s="39">
        <f>'9.1'!H2</f>
        <v>0</v>
      </c>
      <c r="I2" s="39">
        <f>'9.1'!I2</f>
        <v>0</v>
      </c>
      <c r="J2" s="39">
        <f>'9.1'!J2</f>
        <v>0</v>
      </c>
      <c r="K2" s="39">
        <f>'9.1'!K2</f>
        <v>0</v>
      </c>
      <c r="L2" s="39">
        <f>'9.1'!L2</f>
        <v>0</v>
      </c>
      <c r="N2" s="62" t="str">
        <f>IF((COUNTIFS(D2:L2,"&gt;3")+COUNTIFS(D2:L2,"&lt;-3"))&gt;0,"Patikrinkite duomenis, turtas iš viso nėra lygus nuosavybei ir įsipareigojimams iš viso","ok")</f>
        <v>ok</v>
      </c>
    </row>
    <row r="3" spans="1:14" x14ac:dyDescent="0.3">
      <c r="B3" s="140" t="s">
        <v>394</v>
      </c>
      <c r="C3" s="264" t="s">
        <v>782</v>
      </c>
      <c r="D3" s="140"/>
      <c r="E3" s="140"/>
      <c r="F3" s="140"/>
      <c r="G3" s="140"/>
      <c r="H3" s="140"/>
      <c r="I3" s="140"/>
      <c r="J3" s="140"/>
      <c r="K3" s="140"/>
      <c r="L3" s="140"/>
      <c r="M3" s="40"/>
    </row>
    <row r="4" spans="1:14" x14ac:dyDescent="0.3">
      <c r="A4" s="218"/>
      <c r="B4" s="218"/>
      <c r="C4" s="219"/>
      <c r="D4" s="218"/>
      <c r="E4" s="218"/>
      <c r="F4" s="218"/>
      <c r="G4" s="218"/>
      <c r="H4" s="218"/>
      <c r="I4" s="218"/>
      <c r="J4" s="218"/>
      <c r="K4" s="218"/>
      <c r="L4" s="218"/>
    </row>
    <row r="5" spans="1:14" ht="22.8" x14ac:dyDescent="0.3">
      <c r="B5" s="475" t="s">
        <v>22</v>
      </c>
      <c r="C5" s="475" t="s">
        <v>44</v>
      </c>
      <c r="D5" s="131" t="str">
        <f>IF(AND('1'!$C$22="Verslo pradžia",YEAR('1'!$E$22)=YEAR('1'!$C$11)),"Pradžios metai","Ataskaitiniai metai")</f>
        <v>Pradžios metai</v>
      </c>
      <c r="E5" s="464" t="s">
        <v>12</v>
      </c>
      <c r="F5" s="465"/>
      <c r="G5" s="465"/>
      <c r="H5" s="465"/>
      <c r="I5" s="465"/>
      <c r="J5" s="465"/>
      <c r="K5" s="465"/>
      <c r="L5" s="465"/>
    </row>
    <row r="6" spans="1:14" ht="14.4" thickBot="1" x14ac:dyDescent="0.35">
      <c r="B6" s="476"/>
      <c r="C6" s="476"/>
      <c r="D6" s="342">
        <f>IF(D5="Pradžios metai",YEAR('1'!$E$22),IF((YEAR('1'!$C$11)-1)+COUNT($C6:C6)&gt;YEAR('1'!$C$18)+Parametrai!$C$15,"-",(YEAR('1'!$C$11)-1)+COUNT($C6:C6)))</f>
        <v>1900</v>
      </c>
      <c r="E6" s="342">
        <f>IF(E5="Pradžios metai",YEAR('1'!$E$22),IF((YEAR('1'!$C$11)-1)+COUNT($C6:D6)&gt;YEAR('1'!$C$18)+Parametrai!$C$15,"-",(YEAR('1'!$C$11)-1)+COUNT($C6:D6)))</f>
        <v>1900</v>
      </c>
      <c r="F6" s="342">
        <f>IF(F5="Pradžios metai",YEAR('1'!$E$22),IF((YEAR('1'!$C$11)-1)+COUNT($C6:E6)&gt;YEAR('1'!$C$18)+Parametrai!$C$15,"-",(YEAR('1'!$C$11)-1)+COUNT($C6:E6)))</f>
        <v>1901</v>
      </c>
      <c r="G6" s="342">
        <f>IF(G5="Pradžios metai",YEAR('1'!$E$22),IF((YEAR('1'!$C$11)-1)+COUNT($C6:F6)&gt;YEAR('1'!$C$18)+Parametrai!$C$15,"-",(YEAR('1'!$C$11)-1)+COUNT($C6:F6)))</f>
        <v>1902</v>
      </c>
      <c r="H6" s="342">
        <f>IF(H5="Pradžios metai",YEAR('1'!$E$22),IF((YEAR('1'!$C$11)-1)+COUNT($C6:G6)&gt;YEAR('1'!$C$18)+Parametrai!$C$15,"-",(YEAR('1'!$C$11)-1)+COUNT($C6:G6)))</f>
        <v>1903</v>
      </c>
      <c r="I6" s="342" t="str">
        <f>IF(I5="Pradžios metai",YEAR('1'!$E$22),IF((YEAR('1'!$C$11)-1)+COUNT($C6:H6)&gt;YEAR('1'!$C$18)+Parametrai!$C$15,"-",(YEAR('1'!$C$11)-1)+COUNT($C6:H6)))</f>
        <v>-</v>
      </c>
      <c r="J6" s="342" t="str">
        <f>IF(J5="Pradžios metai",YEAR('1'!$E$22),IF((YEAR('1'!$C$11)-1)+COUNT($C6:I6)&gt;YEAR('1'!$C$18)+Parametrai!$C$15,"-",(YEAR('1'!$C$11)-1)+COUNT($C6:I6)))</f>
        <v>-</v>
      </c>
      <c r="K6" s="342" t="str">
        <f>IF(K5="Pradžios metai",YEAR('1'!$E$22),IF((YEAR('1'!$C$11)-1)+COUNT($C6:J6)&gt;YEAR('1'!$C$18)+Parametrai!$C$15,"-",(YEAR('1'!$C$11)-1)+COUNT($C6:J6)))</f>
        <v>-</v>
      </c>
      <c r="L6" s="342" t="str">
        <f>IF(L5="Pradžios metai",YEAR('1'!$E$22),IF((YEAR('1'!$C$11)-1)+COUNT($C6:K6)&gt;YEAR('1'!$C$18)+Parametrai!$C$15,"-",(YEAR('1'!$C$11)-1)+COUNT($C6:K6)))</f>
        <v>-</v>
      </c>
    </row>
    <row r="7" spans="1:14" ht="14.4" thickTop="1" x14ac:dyDescent="0.3">
      <c r="A7" s="11"/>
      <c r="B7" s="201" t="s">
        <v>479</v>
      </c>
      <c r="C7" s="202" t="s">
        <v>161</v>
      </c>
      <c r="D7" s="203"/>
      <c r="E7" s="203"/>
      <c r="F7" s="203"/>
      <c r="G7" s="203"/>
      <c r="H7" s="203"/>
      <c r="I7" s="203"/>
      <c r="J7" s="203"/>
      <c r="K7" s="203"/>
      <c r="L7" s="203"/>
    </row>
    <row r="8" spans="1:14" x14ac:dyDescent="0.3">
      <c r="A8" s="11"/>
      <c r="B8" s="198" t="s">
        <v>504</v>
      </c>
      <c r="C8" s="18" t="s">
        <v>162</v>
      </c>
      <c r="D8" s="359">
        <f>'9.2'!D24</f>
        <v>0</v>
      </c>
      <c r="E8" s="359">
        <f>'9.2'!E24</f>
        <v>0</v>
      </c>
      <c r="F8" s="359">
        <f>'9.2'!F24</f>
        <v>0</v>
      </c>
      <c r="G8" s="359">
        <f>'9.2'!G24</f>
        <v>0</v>
      </c>
      <c r="H8" s="359">
        <f>'9.2'!H24</f>
        <v>0</v>
      </c>
      <c r="I8" s="359">
        <f>'9.2'!I24</f>
        <v>0</v>
      </c>
      <c r="J8" s="359">
        <f>'9.2'!J24</f>
        <v>0</v>
      </c>
      <c r="K8" s="359">
        <f>'9.2'!K24</f>
        <v>0</v>
      </c>
      <c r="L8" s="359">
        <f>'9.2'!L24</f>
        <v>0</v>
      </c>
    </row>
    <row r="9" spans="1:14" x14ac:dyDescent="0.3">
      <c r="A9" s="11"/>
      <c r="B9" s="198" t="s">
        <v>505</v>
      </c>
      <c r="C9" s="18" t="s">
        <v>163</v>
      </c>
      <c r="D9" s="359">
        <f>SUM('7'!C12,'7'!C13,'7'!C23)</f>
        <v>0</v>
      </c>
      <c r="E9" s="359">
        <f>SUM('7'!D12,'7'!D13,'7'!D23)</f>
        <v>0</v>
      </c>
      <c r="F9" s="359">
        <f>SUM('7'!E12,'7'!E13,'7'!E23)</f>
        <v>0</v>
      </c>
      <c r="G9" s="359">
        <f>SUM('7'!F12,'7'!F13,'7'!F23)</f>
        <v>0</v>
      </c>
      <c r="H9" s="359">
        <f>SUM('7'!G12,'7'!G13,'7'!G23)</f>
        <v>0</v>
      </c>
      <c r="I9" s="359">
        <f>SUM('7'!H12,'7'!H13,'7'!H23)</f>
        <v>0</v>
      </c>
      <c r="J9" s="359">
        <f>SUM('7'!I12,'7'!I13,'7'!I23)</f>
        <v>0</v>
      </c>
      <c r="K9" s="359">
        <f>SUM('7'!J12,'7'!J13,'7'!J23)</f>
        <v>0</v>
      </c>
      <c r="L9" s="359">
        <f>SUM('7'!K12,'7'!K13,'7'!K23)</f>
        <v>0</v>
      </c>
    </row>
    <row r="10" spans="1:14" ht="24" x14ac:dyDescent="0.3">
      <c r="A10" s="11"/>
      <c r="B10" s="198" t="s">
        <v>506</v>
      </c>
      <c r="C10" s="18" t="s">
        <v>164</v>
      </c>
      <c r="D10" s="358">
        <f>-SUM('9.2'!D18)</f>
        <v>0</v>
      </c>
      <c r="E10" s="358">
        <f>-SUM('9.2'!E18)</f>
        <v>0</v>
      </c>
      <c r="F10" s="358">
        <f>-SUM('9.2'!F18)</f>
        <v>0</v>
      </c>
      <c r="G10" s="358">
        <f>-SUM('9.2'!G18)</f>
        <v>0</v>
      </c>
      <c r="H10" s="358">
        <f>-SUM('9.2'!H18)</f>
        <v>0</v>
      </c>
      <c r="I10" s="358">
        <f>-SUM('9.2'!I18)</f>
        <v>0</v>
      </c>
      <c r="J10" s="358">
        <f>-SUM('9.2'!J18)</f>
        <v>0</v>
      </c>
      <c r="K10" s="358">
        <f>-SUM('9.2'!K18)</f>
        <v>0</v>
      </c>
      <c r="L10" s="358">
        <f>-SUM('9.2'!L18)</f>
        <v>0</v>
      </c>
      <c r="N10" s="287"/>
    </row>
    <row r="11" spans="1:14" ht="24" x14ac:dyDescent="0.3">
      <c r="A11" s="11"/>
      <c r="B11" s="198" t="s">
        <v>507</v>
      </c>
      <c r="C11" s="210" t="s">
        <v>165</v>
      </c>
      <c r="D11" s="359">
        <f>-SUM('9.2'!D19:D21)</f>
        <v>0</v>
      </c>
      <c r="E11" s="359">
        <f>-SUM('9.2'!E19:E21)</f>
        <v>0</v>
      </c>
      <c r="F11" s="359">
        <f>-SUM('9.2'!F19:F21)</f>
        <v>0</v>
      </c>
      <c r="G11" s="359">
        <f>-SUM('9.2'!G19:G21)</f>
        <v>0</v>
      </c>
      <c r="H11" s="359">
        <f>-SUM('9.2'!H19:H21)</f>
        <v>0</v>
      </c>
      <c r="I11" s="359">
        <f>-SUM('9.2'!I19:I21)</f>
        <v>0</v>
      </c>
      <c r="J11" s="359">
        <f>-SUM('9.2'!J19:J21)</f>
        <v>0</v>
      </c>
      <c r="K11" s="359">
        <f>-SUM('9.2'!K19:K21)</f>
        <v>0</v>
      </c>
      <c r="L11" s="359">
        <f>-SUM('9.2'!L19:L21)</f>
        <v>0</v>
      </c>
      <c r="M11" s="43"/>
      <c r="N11" s="287"/>
    </row>
    <row r="12" spans="1:14" x14ac:dyDescent="0.3">
      <c r="A12" s="11"/>
      <c r="B12" s="198" t="s">
        <v>508</v>
      </c>
      <c r="C12" s="18" t="s">
        <v>166</v>
      </c>
      <c r="D12" s="328"/>
      <c r="E12" s="87"/>
      <c r="F12" s="87"/>
      <c r="G12" s="87"/>
      <c r="H12" s="87"/>
      <c r="I12" s="87"/>
      <c r="J12" s="87"/>
      <c r="K12" s="87"/>
      <c r="L12" s="87"/>
      <c r="N12" s="287" t="s">
        <v>552</v>
      </c>
    </row>
    <row r="13" spans="1:14" ht="24" x14ac:dyDescent="0.3">
      <c r="A13" s="11"/>
      <c r="B13" s="198" t="s">
        <v>509</v>
      </c>
      <c r="C13" s="210" t="s">
        <v>167</v>
      </c>
      <c r="D13" s="328"/>
      <c r="E13" s="328"/>
      <c r="F13" s="328"/>
      <c r="G13" s="328"/>
      <c r="H13" s="328"/>
      <c r="I13" s="328"/>
      <c r="J13" s="328"/>
      <c r="K13" s="328"/>
      <c r="L13" s="328"/>
      <c r="M13" s="55"/>
      <c r="N13" s="287" t="s">
        <v>974</v>
      </c>
    </row>
    <row r="14" spans="1:14" ht="24" x14ac:dyDescent="0.3">
      <c r="A14" s="11"/>
      <c r="B14" s="198" t="s">
        <v>510</v>
      </c>
      <c r="C14" s="210" t="s">
        <v>168</v>
      </c>
      <c r="D14" s="328"/>
      <c r="E14" s="328"/>
      <c r="F14" s="328"/>
      <c r="G14" s="328"/>
      <c r="H14" s="328"/>
      <c r="I14" s="328"/>
      <c r="J14" s="328"/>
      <c r="K14" s="328"/>
      <c r="L14" s="328"/>
      <c r="M14" s="55"/>
      <c r="N14" s="287" t="s">
        <v>974</v>
      </c>
    </row>
    <row r="15" spans="1:14" ht="24" x14ac:dyDescent="0.3">
      <c r="A15" s="11"/>
      <c r="B15" s="198" t="s">
        <v>511</v>
      </c>
      <c r="C15" s="210" t="s">
        <v>554</v>
      </c>
      <c r="D15" s="328"/>
      <c r="E15" s="359">
        <f>-('9.1'!E19-'9.1'!D19)</f>
        <v>0</v>
      </c>
      <c r="F15" s="359">
        <f>-('9.1'!F19-'9.1'!E19)</f>
        <v>0</v>
      </c>
      <c r="G15" s="359">
        <f>-('9.1'!G19-'9.1'!F19)</f>
        <v>0</v>
      </c>
      <c r="H15" s="359">
        <f>-('9.1'!H19-'9.1'!G19)</f>
        <v>0</v>
      </c>
      <c r="I15" s="359">
        <f>-('9.1'!I19-'9.1'!H19)</f>
        <v>0</v>
      </c>
      <c r="J15" s="359">
        <f>-('9.1'!J19-'9.1'!I19)</f>
        <v>0</v>
      </c>
      <c r="K15" s="359">
        <f>-('9.1'!K19-'9.1'!J19)</f>
        <v>0</v>
      </c>
      <c r="L15" s="359">
        <f>-('9.1'!L19-'9.1'!K19)</f>
        <v>0</v>
      </c>
      <c r="M15" s="43"/>
    </row>
    <row r="16" spans="1:14" ht="24" x14ac:dyDescent="0.3">
      <c r="A16" s="11"/>
      <c r="B16" s="198" t="s">
        <v>512</v>
      </c>
      <c r="C16" s="18" t="s">
        <v>169</v>
      </c>
      <c r="D16" s="328"/>
      <c r="E16" s="359">
        <f>-(('9.1'!E21-'9.1'!E27) - ('9.1'!D21-'9.1'!D27))</f>
        <v>0</v>
      </c>
      <c r="F16" s="359">
        <f>-(('9.1'!F21-'9.1'!F27) - ('9.1'!E21-'9.1'!E27))</f>
        <v>0</v>
      </c>
      <c r="G16" s="359">
        <f>-(('9.1'!G21-'9.1'!G27) - ('9.1'!F21-'9.1'!F27))</f>
        <v>0</v>
      </c>
      <c r="H16" s="359">
        <f>-(('9.1'!H21-'9.1'!H27) - ('9.1'!G21-'9.1'!G27))</f>
        <v>0</v>
      </c>
      <c r="I16" s="359">
        <f>-(('9.1'!I21-'9.1'!I27) - ('9.1'!H21-'9.1'!H27))</f>
        <v>0</v>
      </c>
      <c r="J16" s="359">
        <f>-(('9.1'!J21-'9.1'!J27) - ('9.1'!I21-'9.1'!I27))</f>
        <v>0</v>
      </c>
      <c r="K16" s="359">
        <f>-(('9.1'!K21-'9.1'!K27) - ('9.1'!J21-'9.1'!J27))</f>
        <v>0</v>
      </c>
      <c r="L16" s="359">
        <f>-(('9.1'!L21-'9.1'!L27) - ('9.1'!K21-'9.1'!K27))</f>
        <v>0</v>
      </c>
    </row>
    <row r="17" spans="1:14" x14ac:dyDescent="0.3">
      <c r="A17" s="11"/>
      <c r="B17" s="198" t="s">
        <v>513</v>
      </c>
      <c r="C17" s="18" t="s">
        <v>170</v>
      </c>
      <c r="D17" s="328"/>
      <c r="E17" s="359">
        <f>-('9.1'!E27-'9.1'!D27)</f>
        <v>0</v>
      </c>
      <c r="F17" s="359">
        <f>-('9.1'!F27-'9.1'!E27)</f>
        <v>0</v>
      </c>
      <c r="G17" s="359">
        <f>-('9.1'!G27-'9.1'!F27)</f>
        <v>0</v>
      </c>
      <c r="H17" s="359">
        <f>-('9.1'!H27-'9.1'!G27)</f>
        <v>0</v>
      </c>
      <c r="I17" s="359">
        <f>-('9.1'!I27-'9.1'!H27)</f>
        <v>0</v>
      </c>
      <c r="J17" s="359">
        <f>-('9.1'!J27-'9.1'!I27)</f>
        <v>0</v>
      </c>
      <c r="K17" s="359">
        <f>-('9.1'!K27-'9.1'!J27)</f>
        <v>0</v>
      </c>
      <c r="L17" s="359">
        <f>-('9.1'!L27-'9.1'!K27)</f>
        <v>0</v>
      </c>
    </row>
    <row r="18" spans="1:14" x14ac:dyDescent="0.3">
      <c r="A18" s="11"/>
      <c r="B18" s="198" t="s">
        <v>514</v>
      </c>
      <c r="C18" s="18" t="s">
        <v>171</v>
      </c>
      <c r="D18" s="328"/>
      <c r="E18" s="359">
        <f>-('9.1'!E29-'9.1'!D29)</f>
        <v>0</v>
      </c>
      <c r="F18" s="359">
        <f>-('9.1'!F29-'9.1'!E29)</f>
        <v>0</v>
      </c>
      <c r="G18" s="359">
        <f>-('9.1'!G29-'9.1'!F29)</f>
        <v>0</v>
      </c>
      <c r="H18" s="359">
        <f>-('9.1'!H29-'9.1'!G29)</f>
        <v>0</v>
      </c>
      <c r="I18" s="359">
        <f>-('9.1'!I29-'9.1'!H29)</f>
        <v>0</v>
      </c>
      <c r="J18" s="359">
        <f>-('9.1'!J29-'9.1'!I29)</f>
        <v>0</v>
      </c>
      <c r="K18" s="359">
        <f>-('9.1'!K29-'9.1'!J29)</f>
        <v>0</v>
      </c>
      <c r="L18" s="359">
        <f>-('9.1'!L29-'9.1'!K29)</f>
        <v>0</v>
      </c>
    </row>
    <row r="19" spans="1:14" x14ac:dyDescent="0.3">
      <c r="A19" s="11"/>
      <c r="B19" s="198" t="s">
        <v>573</v>
      </c>
      <c r="C19" s="18" t="s">
        <v>172</v>
      </c>
      <c r="D19" s="328"/>
      <c r="E19" s="359">
        <f>-('9.1'!E30-'9.1'!D30)</f>
        <v>0</v>
      </c>
      <c r="F19" s="359">
        <f>-('9.1'!F30-'9.1'!E30)</f>
        <v>0</v>
      </c>
      <c r="G19" s="359">
        <f>-('9.1'!G30-'9.1'!F30)</f>
        <v>0</v>
      </c>
      <c r="H19" s="359">
        <f>-('9.1'!H30-'9.1'!G30)</f>
        <v>0</v>
      </c>
      <c r="I19" s="359">
        <f>-('9.1'!I30-'9.1'!H30)</f>
        <v>0</v>
      </c>
      <c r="J19" s="359">
        <f>-('9.1'!J30-'9.1'!I30)</f>
        <v>0</v>
      </c>
      <c r="K19" s="359">
        <f>-('9.1'!K30-'9.1'!J30)</f>
        <v>0</v>
      </c>
      <c r="L19" s="359">
        <f>-('9.1'!L30-'9.1'!K30)</f>
        <v>0</v>
      </c>
    </row>
    <row r="20" spans="1:14" ht="24" x14ac:dyDescent="0.3">
      <c r="A20" s="11"/>
      <c r="B20" s="198" t="s">
        <v>515</v>
      </c>
      <c r="C20" s="18" t="s">
        <v>173</v>
      </c>
      <c r="D20" s="328"/>
      <c r="E20" s="359">
        <f>-('9.1'!E31-'9.1'!D31)</f>
        <v>0</v>
      </c>
      <c r="F20" s="359">
        <f>-('9.1'!F31-'9.1'!E31)</f>
        <v>0</v>
      </c>
      <c r="G20" s="359">
        <f>-('9.1'!G31-'9.1'!F31)</f>
        <v>0</v>
      </c>
      <c r="H20" s="359">
        <f>-('9.1'!H31-'9.1'!G31)</f>
        <v>0</v>
      </c>
      <c r="I20" s="359">
        <f>-('9.1'!I31-'9.1'!H31)</f>
        <v>0</v>
      </c>
      <c r="J20" s="359">
        <f>-('9.1'!J31-'9.1'!I31)</f>
        <v>0</v>
      </c>
      <c r="K20" s="359">
        <f>-('9.1'!K31-'9.1'!J31)</f>
        <v>0</v>
      </c>
      <c r="L20" s="359">
        <f>-('9.1'!L31-'9.1'!K31)</f>
        <v>0</v>
      </c>
    </row>
    <row r="21" spans="1:14" ht="24" x14ac:dyDescent="0.3">
      <c r="A21" s="11"/>
      <c r="B21" s="198" t="s">
        <v>516</v>
      </c>
      <c r="C21" s="18" t="s">
        <v>174</v>
      </c>
      <c r="D21" s="328"/>
      <c r="E21" s="359">
        <f>-('9.1'!E33-'9.1'!D33)</f>
        <v>0</v>
      </c>
      <c r="F21" s="359">
        <f>-('9.1'!F33-'9.1'!E33)</f>
        <v>0</v>
      </c>
      <c r="G21" s="359">
        <f>-('9.1'!G33-'9.1'!F33)</f>
        <v>0</v>
      </c>
      <c r="H21" s="359">
        <f>-('9.1'!H33-'9.1'!G33)</f>
        <v>0</v>
      </c>
      <c r="I21" s="359">
        <f>-('9.1'!I33-'9.1'!H33)</f>
        <v>0</v>
      </c>
      <c r="J21" s="359">
        <f>-('9.1'!J33-'9.1'!I33)</f>
        <v>0</v>
      </c>
      <c r="K21" s="359">
        <f>-('9.1'!K33-'9.1'!J33)</f>
        <v>0</v>
      </c>
      <c r="L21" s="359">
        <f>-('9.1'!L33-'9.1'!K33)</f>
        <v>0</v>
      </c>
    </row>
    <row r="22" spans="1:14" x14ac:dyDescent="0.3">
      <c r="A22" s="11"/>
      <c r="B22" s="198" t="s">
        <v>517</v>
      </c>
      <c r="C22" s="18" t="s">
        <v>175</v>
      </c>
      <c r="D22" s="328"/>
      <c r="E22" s="359">
        <f>'9.1'!E49-'9.1'!D49</f>
        <v>0</v>
      </c>
      <c r="F22" s="359">
        <f>'9.1'!F49-'9.1'!E49</f>
        <v>0</v>
      </c>
      <c r="G22" s="359">
        <f>'9.1'!G49-'9.1'!F49</f>
        <v>0</v>
      </c>
      <c r="H22" s="359">
        <f>'9.1'!H49-'9.1'!G49</f>
        <v>0</v>
      </c>
      <c r="I22" s="359">
        <f>'9.1'!I49-'9.1'!H49</f>
        <v>0</v>
      </c>
      <c r="J22" s="359">
        <f>'9.1'!J49-'9.1'!I49</f>
        <v>0</v>
      </c>
      <c r="K22" s="359">
        <f>'9.1'!K49-'9.1'!J49</f>
        <v>0</v>
      </c>
      <c r="L22" s="359">
        <f>'9.1'!L49-'9.1'!K49</f>
        <v>0</v>
      </c>
    </row>
    <row r="23" spans="1:14" ht="24" x14ac:dyDescent="0.3">
      <c r="A23" s="11"/>
      <c r="B23" s="198" t="s">
        <v>518</v>
      </c>
      <c r="C23" s="18" t="s">
        <v>176</v>
      </c>
      <c r="D23" s="328"/>
      <c r="E23" s="359">
        <f>('9.1'!E54+'9.1'!E55)-('9.1'!D54+'9.1'!D55)</f>
        <v>0</v>
      </c>
      <c r="F23" s="359">
        <f>('9.1'!F54+'9.1'!F55)-('9.1'!E54+'9.1'!E55)</f>
        <v>0</v>
      </c>
      <c r="G23" s="359">
        <f>('9.1'!G54+'9.1'!G55)-('9.1'!F54+'9.1'!F55)</f>
        <v>0</v>
      </c>
      <c r="H23" s="359">
        <f>('9.1'!H54+'9.1'!H55)-('9.1'!G54+'9.1'!G55)</f>
        <v>0</v>
      </c>
      <c r="I23" s="359">
        <f>('9.1'!I54+'9.1'!I55)-('9.1'!H54+'9.1'!H55)</f>
        <v>0</v>
      </c>
      <c r="J23" s="359">
        <f>('9.1'!J54+'9.1'!J55)-('9.1'!I54+'9.1'!I55)</f>
        <v>0</v>
      </c>
      <c r="K23" s="359">
        <f>('9.1'!K54+'9.1'!K55)-('9.1'!J54+'9.1'!J55)</f>
        <v>0</v>
      </c>
      <c r="L23" s="359">
        <f>('9.1'!L54+'9.1'!L55)-('9.1'!K54+'9.1'!K55)</f>
        <v>0</v>
      </c>
    </row>
    <row r="24" spans="1:14" ht="24" x14ac:dyDescent="0.3">
      <c r="A24" s="11"/>
      <c r="B24" s="198" t="s">
        <v>519</v>
      </c>
      <c r="C24" s="18" t="s">
        <v>177</v>
      </c>
      <c r="D24" s="328"/>
      <c r="E24" s="359">
        <f>('9.1'!E61 + '9.1'!E60)-('9.1'!D61 + '9.1'!D60)</f>
        <v>0</v>
      </c>
      <c r="F24" s="359">
        <f>('9.1'!F61 + '9.1'!F60)-('9.1'!E61 + '9.1'!E60)</f>
        <v>0</v>
      </c>
      <c r="G24" s="359">
        <f>('9.1'!G61 + '9.1'!G60)-('9.1'!F61 + '9.1'!F60)</f>
        <v>0</v>
      </c>
      <c r="H24" s="359">
        <f>('9.1'!H61 + '9.1'!H60)-('9.1'!G61 + '9.1'!G60)</f>
        <v>0</v>
      </c>
      <c r="I24" s="359">
        <f>('9.1'!I61 + '9.1'!I60)-('9.1'!H61 + '9.1'!H60)</f>
        <v>0</v>
      </c>
      <c r="J24" s="359">
        <f>('9.1'!J61 + '9.1'!J60)-('9.1'!I61 + '9.1'!I60)</f>
        <v>0</v>
      </c>
      <c r="K24" s="359">
        <f>('9.1'!K61 + '9.1'!K60)-('9.1'!J61 + '9.1'!J60)</f>
        <v>0</v>
      </c>
      <c r="L24" s="359">
        <f>('9.1'!L61 + '9.1'!L60)-('9.1'!K61 + '9.1'!K60)</f>
        <v>0</v>
      </c>
    </row>
    <row r="25" spans="1:14" ht="24" x14ac:dyDescent="0.3">
      <c r="A25" s="11"/>
      <c r="B25" s="198" t="s">
        <v>574</v>
      </c>
      <c r="C25" s="18" t="s">
        <v>178</v>
      </c>
      <c r="D25" s="328"/>
      <c r="E25" s="359">
        <f>'9.1'!E62-'9.1'!D62</f>
        <v>0</v>
      </c>
      <c r="F25" s="359">
        <f>'9.1'!F62-'9.1'!E62</f>
        <v>0</v>
      </c>
      <c r="G25" s="359">
        <f>'9.1'!G62-'9.1'!F62</f>
        <v>0</v>
      </c>
      <c r="H25" s="359">
        <f>'9.1'!H62-'9.1'!G62</f>
        <v>0</v>
      </c>
      <c r="I25" s="359">
        <f>'9.1'!I62-'9.1'!H62</f>
        <v>0</v>
      </c>
      <c r="J25" s="359">
        <f>'9.1'!J62-'9.1'!I62</f>
        <v>0</v>
      </c>
      <c r="K25" s="359">
        <f>'9.1'!K62-'9.1'!J62</f>
        <v>0</v>
      </c>
      <c r="L25" s="359">
        <f>'9.1'!L62-'9.1'!K62</f>
        <v>0</v>
      </c>
    </row>
    <row r="26" spans="1:14" ht="24" x14ac:dyDescent="0.3">
      <c r="A26" s="11"/>
      <c r="B26" s="198" t="s">
        <v>520</v>
      </c>
      <c r="C26" s="18" t="s">
        <v>179</v>
      </c>
      <c r="D26" s="328"/>
      <c r="E26" s="359">
        <f>'9.1'!E63-'9.1'!D63</f>
        <v>0</v>
      </c>
      <c r="F26" s="359">
        <f>'9.1'!F63-'9.1'!E63</f>
        <v>0</v>
      </c>
      <c r="G26" s="359">
        <f>'9.1'!G63-'9.1'!F63</f>
        <v>0</v>
      </c>
      <c r="H26" s="359">
        <f>'9.1'!H63-'9.1'!G63</f>
        <v>0</v>
      </c>
      <c r="I26" s="359">
        <f>'9.1'!I63-'9.1'!H63</f>
        <v>0</v>
      </c>
      <c r="J26" s="359">
        <f>'9.1'!J63-'9.1'!I63</f>
        <v>0</v>
      </c>
      <c r="K26" s="359">
        <f>'9.1'!K63-'9.1'!J63</f>
        <v>0</v>
      </c>
      <c r="L26" s="359">
        <f>'9.1'!L63-'9.1'!K63</f>
        <v>0</v>
      </c>
    </row>
    <row r="27" spans="1:14" ht="24" x14ac:dyDescent="0.3">
      <c r="A27" s="11"/>
      <c r="B27" s="198" t="s">
        <v>575</v>
      </c>
      <c r="C27" s="210" t="s">
        <v>180</v>
      </c>
      <c r="D27" s="328"/>
      <c r="E27" s="359">
        <f>('9.1'!E64+'9.1'!E56) - ('9.1'!D64+'9.1'!D56)</f>
        <v>0</v>
      </c>
      <c r="F27" s="359">
        <f>('9.1'!F64+'9.1'!F56) - ('9.1'!E64+'9.1'!E56)</f>
        <v>0</v>
      </c>
      <c r="G27" s="359">
        <f>('9.1'!G64+'9.1'!G56) - ('9.1'!F64+'9.1'!F56)</f>
        <v>0</v>
      </c>
      <c r="H27" s="359">
        <f>('9.1'!H64+'9.1'!H56) - ('9.1'!G64+'9.1'!G56)</f>
        <v>0</v>
      </c>
      <c r="I27" s="359">
        <f>('9.1'!I64+'9.1'!I56) - ('9.1'!H64+'9.1'!H56)</f>
        <v>0</v>
      </c>
      <c r="J27" s="359">
        <f>('9.1'!J64+'9.1'!J56) - ('9.1'!I64+'9.1'!I56)</f>
        <v>0</v>
      </c>
      <c r="K27" s="359">
        <f>('9.1'!K64+'9.1'!K56) - ('9.1'!J64+'9.1'!J56)</f>
        <v>0</v>
      </c>
      <c r="L27" s="359">
        <f>('9.1'!L64+'9.1'!L56) - ('9.1'!K64+'9.1'!K56)</f>
        <v>0</v>
      </c>
    </row>
    <row r="28" spans="1:14" ht="24" x14ac:dyDescent="0.3">
      <c r="A28" s="11"/>
      <c r="B28" s="198" t="s">
        <v>576</v>
      </c>
      <c r="C28" s="18" t="s">
        <v>181</v>
      </c>
      <c r="D28" s="328"/>
      <c r="E28" s="359">
        <f>'9.1'!E65-'9.1'!D65</f>
        <v>0</v>
      </c>
      <c r="F28" s="359">
        <f>'9.1'!F65-'9.1'!E65</f>
        <v>0</v>
      </c>
      <c r="G28" s="359">
        <f>'9.1'!G65-'9.1'!F65</f>
        <v>0</v>
      </c>
      <c r="H28" s="359">
        <f>'9.1'!H65-'9.1'!G65</f>
        <v>0</v>
      </c>
      <c r="I28" s="359">
        <f>'9.1'!I65-'9.1'!H65</f>
        <v>0</v>
      </c>
      <c r="J28" s="359">
        <f>'9.1'!J65-'9.1'!I65</f>
        <v>0</v>
      </c>
      <c r="K28" s="359">
        <f>'9.1'!K65-'9.1'!J65</f>
        <v>0</v>
      </c>
      <c r="L28" s="359">
        <f>'9.1'!L65-'9.1'!K65</f>
        <v>0</v>
      </c>
    </row>
    <row r="29" spans="1:14" x14ac:dyDescent="0.3">
      <c r="A29" s="11"/>
      <c r="B29" s="200" t="s">
        <v>521</v>
      </c>
      <c r="C29" s="134" t="s">
        <v>182</v>
      </c>
      <c r="D29" s="205">
        <f>SUM(D8:D28)</f>
        <v>0</v>
      </c>
      <c r="E29" s="205">
        <f t="shared" ref="E29:L29" si="0">SUM(E8:E28)</f>
        <v>0</v>
      </c>
      <c r="F29" s="205">
        <f t="shared" si="0"/>
        <v>0</v>
      </c>
      <c r="G29" s="205">
        <f t="shared" si="0"/>
        <v>0</v>
      </c>
      <c r="H29" s="205">
        <f t="shared" si="0"/>
        <v>0</v>
      </c>
      <c r="I29" s="205">
        <f t="shared" si="0"/>
        <v>0</v>
      </c>
      <c r="J29" s="205">
        <f t="shared" si="0"/>
        <v>0</v>
      </c>
      <c r="K29" s="205">
        <f t="shared" si="0"/>
        <v>0</v>
      </c>
      <c r="L29" s="205">
        <f t="shared" si="0"/>
        <v>0</v>
      </c>
    </row>
    <row r="30" spans="1:14" x14ac:dyDescent="0.3">
      <c r="A30" s="11"/>
      <c r="B30" s="200" t="s">
        <v>480</v>
      </c>
      <c r="C30" s="134" t="s">
        <v>183</v>
      </c>
      <c r="D30" s="182"/>
      <c r="E30" s="182"/>
      <c r="F30" s="182"/>
      <c r="G30" s="182"/>
      <c r="H30" s="182"/>
      <c r="I30" s="182"/>
      <c r="J30" s="182"/>
      <c r="K30" s="182"/>
      <c r="L30" s="182"/>
    </row>
    <row r="31" spans="1:14" x14ac:dyDescent="0.3">
      <c r="A31" s="11"/>
      <c r="B31" s="198" t="s">
        <v>522</v>
      </c>
      <c r="C31" s="18" t="s">
        <v>184</v>
      </c>
      <c r="D31" s="359">
        <f>-'6'!D62</f>
        <v>0</v>
      </c>
      <c r="E31" s="359">
        <f>-'6'!E62</f>
        <v>0</v>
      </c>
      <c r="F31" s="359">
        <f>-'6'!F62</f>
        <v>0</v>
      </c>
      <c r="G31" s="359">
        <f>-'6'!G62</f>
        <v>0</v>
      </c>
      <c r="H31" s="359">
        <f>-'6'!H62</f>
        <v>0</v>
      </c>
      <c r="I31" s="359">
        <f>-'6'!I62</f>
        <v>0</v>
      </c>
      <c r="J31" s="359">
        <f>-'6'!J62</f>
        <v>0</v>
      </c>
      <c r="K31" s="359">
        <f>-'6'!K62</f>
        <v>0</v>
      </c>
      <c r="L31" s="359">
        <f>-'6'!L62</f>
        <v>0</v>
      </c>
    </row>
    <row r="32" spans="1:14" x14ac:dyDescent="0.3">
      <c r="A32" s="11"/>
      <c r="B32" s="198" t="s">
        <v>523</v>
      </c>
      <c r="C32" s="18" t="s">
        <v>185</v>
      </c>
      <c r="D32" s="199"/>
      <c r="E32" s="199"/>
      <c r="F32" s="199"/>
      <c r="G32" s="199"/>
      <c r="H32" s="199"/>
      <c r="I32" s="199"/>
      <c r="J32" s="199"/>
      <c r="K32" s="199"/>
      <c r="L32" s="199"/>
      <c r="N32" s="287" t="s">
        <v>679</v>
      </c>
    </row>
    <row r="33" spans="1:14" x14ac:dyDescent="0.3">
      <c r="A33" s="11"/>
      <c r="B33" s="198" t="s">
        <v>524</v>
      </c>
      <c r="C33" s="18" t="s">
        <v>186</v>
      </c>
      <c r="D33" s="316"/>
      <c r="E33" s="316"/>
      <c r="F33" s="316"/>
      <c r="G33" s="316"/>
      <c r="H33" s="316"/>
      <c r="I33" s="316"/>
      <c r="J33" s="316"/>
      <c r="K33" s="316"/>
      <c r="L33" s="316"/>
      <c r="N33" s="287" t="s">
        <v>974</v>
      </c>
    </row>
    <row r="34" spans="1:14" x14ac:dyDescent="0.3">
      <c r="A34" s="11"/>
      <c r="B34" s="198" t="s">
        <v>525</v>
      </c>
      <c r="C34" s="18" t="s">
        <v>187</v>
      </c>
      <c r="D34" s="328"/>
      <c r="E34" s="328"/>
      <c r="F34" s="328"/>
      <c r="G34" s="328"/>
      <c r="H34" s="328"/>
      <c r="I34" s="328"/>
      <c r="J34" s="328"/>
      <c r="K34" s="328"/>
      <c r="L34" s="328"/>
      <c r="N34" s="287" t="s">
        <v>974</v>
      </c>
    </row>
    <row r="35" spans="1:14" x14ac:dyDescent="0.3">
      <c r="A35" s="11"/>
      <c r="B35" s="198" t="s">
        <v>526</v>
      </c>
      <c r="C35" s="18" t="s">
        <v>188</v>
      </c>
      <c r="D35" s="316"/>
      <c r="E35" s="316"/>
      <c r="F35" s="316"/>
      <c r="G35" s="316"/>
      <c r="H35" s="316"/>
      <c r="I35" s="316"/>
      <c r="J35" s="316"/>
      <c r="K35" s="316"/>
      <c r="L35" s="316"/>
      <c r="N35" s="287" t="s">
        <v>974</v>
      </c>
    </row>
    <row r="36" spans="1:14" x14ac:dyDescent="0.3">
      <c r="A36" s="11"/>
      <c r="B36" s="198" t="s">
        <v>527</v>
      </c>
      <c r="C36" s="18" t="s">
        <v>189</v>
      </c>
      <c r="D36" s="328"/>
      <c r="E36" s="328"/>
      <c r="F36" s="328"/>
      <c r="G36" s="328"/>
      <c r="H36" s="328"/>
      <c r="I36" s="328"/>
      <c r="J36" s="328"/>
      <c r="K36" s="328"/>
      <c r="L36" s="328"/>
      <c r="N36" s="287" t="s">
        <v>974</v>
      </c>
    </row>
    <row r="37" spans="1:14" x14ac:dyDescent="0.3">
      <c r="A37" s="11"/>
      <c r="B37" s="198" t="s">
        <v>528</v>
      </c>
      <c r="C37" s="18" t="s">
        <v>190</v>
      </c>
      <c r="D37" s="359">
        <f>'9.2'!D19</f>
        <v>0</v>
      </c>
      <c r="E37" s="359">
        <f>'9.2'!E19</f>
        <v>0</v>
      </c>
      <c r="F37" s="359">
        <f>'9.2'!F19</f>
        <v>0</v>
      </c>
      <c r="G37" s="359">
        <f>'9.2'!G19</f>
        <v>0</v>
      </c>
      <c r="H37" s="359">
        <f>'9.2'!H19</f>
        <v>0</v>
      </c>
      <c r="I37" s="359">
        <f>'9.2'!I19</f>
        <v>0</v>
      </c>
      <c r="J37" s="359">
        <f>'9.2'!J19</f>
        <v>0</v>
      </c>
      <c r="K37" s="359">
        <f>'9.2'!K19</f>
        <v>0</v>
      </c>
      <c r="L37" s="359">
        <f>'9.2'!L19</f>
        <v>0</v>
      </c>
      <c r="N37" s="287" t="s">
        <v>973</v>
      </c>
    </row>
    <row r="38" spans="1:14" ht="24" x14ac:dyDescent="0.3">
      <c r="A38" s="11"/>
      <c r="B38" s="198" t="s">
        <v>529</v>
      </c>
      <c r="C38" s="18" t="s">
        <v>191</v>
      </c>
      <c r="D38" s="404">
        <f>IF('9.2'!D18&gt;0,'9.2'!D18,0)</f>
        <v>0</v>
      </c>
      <c r="E38" s="359">
        <f>IF('9.2'!E18&gt;0,'9.2'!E18,0)</f>
        <v>0</v>
      </c>
      <c r="F38" s="359">
        <f>IF('9.2'!F18&gt;0,'9.2'!F18,0)</f>
        <v>0</v>
      </c>
      <c r="G38" s="359">
        <f>IF('9.2'!G18&gt;0,'9.2'!G18,0)</f>
        <v>0</v>
      </c>
      <c r="H38" s="359">
        <f>IF('9.2'!H18&gt;0,'9.2'!H18,0)</f>
        <v>0</v>
      </c>
      <c r="I38" s="359">
        <f>IF('9.2'!I18&gt;0,'9.2'!I18,0)</f>
        <v>0</v>
      </c>
      <c r="J38" s="359">
        <f>IF('9.2'!J18&gt;0,'9.2'!J18,0)</f>
        <v>0</v>
      </c>
      <c r="K38" s="359">
        <f>IF('9.2'!K18&gt;0,'9.2'!K18,0)</f>
        <v>0</v>
      </c>
      <c r="L38" s="359">
        <f>IF('9.2'!L18&gt;0,'9.2'!L18,0)</f>
        <v>0</v>
      </c>
      <c r="N38" s="287" t="s">
        <v>549</v>
      </c>
    </row>
    <row r="39" spans="1:14" ht="24" x14ac:dyDescent="0.3">
      <c r="A39" s="11"/>
      <c r="B39" s="198" t="s">
        <v>530</v>
      </c>
      <c r="C39" s="18" t="s">
        <v>192</v>
      </c>
      <c r="D39" s="404">
        <f>IF('9.2'!D18&lt;0,'9.2'!D18,0)</f>
        <v>0</v>
      </c>
      <c r="E39" s="359">
        <f>IF('9.2'!E18&lt;0,'9.2'!E18,0)</f>
        <v>0</v>
      </c>
      <c r="F39" s="359">
        <f>IF('9.2'!F18&lt;0,'9.2'!F18,0)</f>
        <v>0</v>
      </c>
      <c r="G39" s="359">
        <f>IF('9.2'!G18&lt;0,'9.2'!G18,0)</f>
        <v>0</v>
      </c>
      <c r="H39" s="359">
        <f>IF('9.2'!H18&lt;0,'9.2'!H18,0)</f>
        <v>0</v>
      </c>
      <c r="I39" s="359">
        <f>IF('9.2'!I18&lt;0,'9.2'!I18,0)</f>
        <v>0</v>
      </c>
      <c r="J39" s="359">
        <f>IF('9.2'!J18&lt;0,'9.2'!J18,0)</f>
        <v>0</v>
      </c>
      <c r="K39" s="359">
        <f>IF('9.2'!K18&lt;0,'9.2'!K18,0)</f>
        <v>0</v>
      </c>
      <c r="L39" s="359">
        <f>IF('9.2'!L18&lt;0,'9.2'!L18,0)</f>
        <v>0</v>
      </c>
      <c r="N39" s="287" t="s">
        <v>550</v>
      </c>
    </row>
    <row r="40" spans="1:14" x14ac:dyDescent="0.3">
      <c r="A40" s="11"/>
      <c r="B40" s="200" t="s">
        <v>577</v>
      </c>
      <c r="C40" s="134" t="s">
        <v>193</v>
      </c>
      <c r="D40" s="206">
        <f>SUM(D31:D39)</f>
        <v>0</v>
      </c>
      <c r="E40" s="206">
        <f>SUM(E31:E39)</f>
        <v>0</v>
      </c>
      <c r="F40" s="206">
        <f t="shared" ref="F40:L40" si="1">SUM(F31:F39)</f>
        <v>0</v>
      </c>
      <c r="G40" s="206">
        <f t="shared" si="1"/>
        <v>0</v>
      </c>
      <c r="H40" s="206">
        <f t="shared" si="1"/>
        <v>0</v>
      </c>
      <c r="I40" s="206">
        <f t="shared" si="1"/>
        <v>0</v>
      </c>
      <c r="J40" s="206">
        <f t="shared" si="1"/>
        <v>0</v>
      </c>
      <c r="K40" s="206">
        <f t="shared" si="1"/>
        <v>0</v>
      </c>
      <c r="L40" s="206">
        <f t="shared" si="1"/>
        <v>0</v>
      </c>
    </row>
    <row r="41" spans="1:14" x14ac:dyDescent="0.3">
      <c r="A41" s="11"/>
      <c r="B41" s="200" t="s">
        <v>481</v>
      </c>
      <c r="C41" s="134" t="s">
        <v>194</v>
      </c>
      <c r="D41" s="182"/>
      <c r="E41" s="182"/>
      <c r="F41" s="182"/>
      <c r="G41" s="182"/>
      <c r="H41" s="182"/>
      <c r="I41" s="182"/>
      <c r="J41" s="182"/>
      <c r="K41" s="182"/>
      <c r="L41" s="182"/>
    </row>
    <row r="42" spans="1:14" x14ac:dyDescent="0.3">
      <c r="A42" s="11"/>
      <c r="B42" s="198" t="s">
        <v>499</v>
      </c>
      <c r="C42" s="18" t="s">
        <v>195</v>
      </c>
      <c r="D42" s="363">
        <f>SUM(D43:D46)</f>
        <v>0</v>
      </c>
      <c r="E42" s="363">
        <f t="shared" ref="E42:L42" si="2">SUM(E43:E46)</f>
        <v>0</v>
      </c>
      <c r="F42" s="363">
        <f t="shared" si="2"/>
        <v>0</v>
      </c>
      <c r="G42" s="363">
        <f t="shared" si="2"/>
        <v>0</v>
      </c>
      <c r="H42" s="363">
        <f t="shared" si="2"/>
        <v>0</v>
      </c>
      <c r="I42" s="363">
        <f t="shared" si="2"/>
        <v>0</v>
      </c>
      <c r="J42" s="363">
        <f t="shared" si="2"/>
        <v>0</v>
      </c>
      <c r="K42" s="363">
        <f t="shared" si="2"/>
        <v>0</v>
      </c>
      <c r="L42" s="363">
        <f t="shared" si="2"/>
        <v>0</v>
      </c>
    </row>
    <row r="43" spans="1:14" x14ac:dyDescent="0.3">
      <c r="A43" s="11"/>
      <c r="B43" s="198" t="s">
        <v>500</v>
      </c>
      <c r="C43" s="18" t="s">
        <v>196</v>
      </c>
      <c r="D43" s="328"/>
      <c r="E43" s="328"/>
      <c r="F43" s="328"/>
      <c r="G43" s="328"/>
      <c r="H43" s="328"/>
      <c r="I43" s="328"/>
      <c r="J43" s="328"/>
      <c r="K43" s="328"/>
      <c r="L43" s="328"/>
      <c r="M43" s="42"/>
      <c r="N43" s="287" t="s">
        <v>548</v>
      </c>
    </row>
    <row r="44" spans="1:14" x14ac:dyDescent="0.3">
      <c r="A44" s="11"/>
      <c r="B44" s="198" t="s">
        <v>501</v>
      </c>
      <c r="C44" s="18" t="s">
        <v>197</v>
      </c>
      <c r="D44" s="328"/>
      <c r="E44" s="328"/>
      <c r="F44" s="328"/>
      <c r="G44" s="328"/>
      <c r="H44" s="328"/>
      <c r="I44" s="328"/>
      <c r="J44" s="328"/>
      <c r="K44" s="328"/>
      <c r="L44" s="328"/>
      <c r="M44" s="43"/>
      <c r="N44" s="287" t="s">
        <v>548</v>
      </c>
    </row>
    <row r="45" spans="1:14" x14ac:dyDescent="0.3">
      <c r="A45" s="11"/>
      <c r="B45" s="198" t="s">
        <v>502</v>
      </c>
      <c r="C45" s="18" t="s">
        <v>198</v>
      </c>
      <c r="D45" s="316"/>
      <c r="E45" s="316"/>
      <c r="F45" s="316"/>
      <c r="G45" s="316"/>
      <c r="H45" s="316"/>
      <c r="I45" s="316"/>
      <c r="J45" s="316"/>
      <c r="K45" s="316"/>
      <c r="L45" s="316"/>
      <c r="M45" s="42"/>
      <c r="N45" s="287" t="s">
        <v>548</v>
      </c>
    </row>
    <row r="46" spans="1:14" x14ac:dyDescent="0.3">
      <c r="A46" s="11"/>
      <c r="B46" s="198" t="s">
        <v>503</v>
      </c>
      <c r="C46" s="18" t="s">
        <v>199</v>
      </c>
      <c r="D46" s="316"/>
      <c r="E46" s="316"/>
      <c r="F46" s="316"/>
      <c r="G46" s="316"/>
      <c r="H46" s="316"/>
      <c r="I46" s="316"/>
      <c r="J46" s="316"/>
      <c r="K46" s="316"/>
      <c r="L46" s="316"/>
      <c r="M46" s="43"/>
      <c r="N46" s="287" t="s">
        <v>548</v>
      </c>
    </row>
    <row r="47" spans="1:14" ht="24" x14ac:dyDescent="0.3">
      <c r="A47" s="11"/>
      <c r="B47" s="198" t="s">
        <v>488</v>
      </c>
      <c r="C47" s="18" t="s">
        <v>200</v>
      </c>
      <c r="D47" s="359">
        <f>SUM(D48,D51,D56:D59)</f>
        <v>0</v>
      </c>
      <c r="E47" s="359">
        <f t="shared" ref="E47:L47" si="3">SUM(E48,E51,E56:E59)</f>
        <v>0</v>
      </c>
      <c r="F47" s="359">
        <f t="shared" si="3"/>
        <v>0</v>
      </c>
      <c r="G47" s="359">
        <f t="shared" si="3"/>
        <v>0</v>
      </c>
      <c r="H47" s="359">
        <f t="shared" si="3"/>
        <v>0</v>
      </c>
      <c r="I47" s="359">
        <f t="shared" si="3"/>
        <v>0</v>
      </c>
      <c r="J47" s="359">
        <f t="shared" si="3"/>
        <v>0</v>
      </c>
      <c r="K47" s="359">
        <f t="shared" si="3"/>
        <v>0</v>
      </c>
      <c r="L47" s="359">
        <f t="shared" si="3"/>
        <v>0</v>
      </c>
    </row>
    <row r="48" spans="1:14" x14ac:dyDescent="0.3">
      <c r="A48" s="11"/>
      <c r="B48" s="198" t="s">
        <v>489</v>
      </c>
      <c r="C48" s="18" t="s">
        <v>201</v>
      </c>
      <c r="D48" s="359">
        <f>SUM(D49:D50)</f>
        <v>0</v>
      </c>
      <c r="E48" s="359">
        <f t="shared" ref="E48:L48" si="4">SUM(E49:E50)</f>
        <v>0</v>
      </c>
      <c r="F48" s="359">
        <f t="shared" si="4"/>
        <v>0</v>
      </c>
      <c r="G48" s="359">
        <f t="shared" si="4"/>
        <v>0</v>
      </c>
      <c r="H48" s="359">
        <f t="shared" si="4"/>
        <v>0</v>
      </c>
      <c r="I48" s="359">
        <f t="shared" si="4"/>
        <v>0</v>
      </c>
      <c r="J48" s="359">
        <f t="shared" si="4"/>
        <v>0</v>
      </c>
      <c r="K48" s="359">
        <f t="shared" si="4"/>
        <v>0</v>
      </c>
      <c r="L48" s="359">
        <f t="shared" si="4"/>
        <v>0</v>
      </c>
    </row>
    <row r="49" spans="1:14" x14ac:dyDescent="0.3">
      <c r="A49" s="11"/>
      <c r="B49" s="198" t="s">
        <v>490</v>
      </c>
      <c r="C49" s="18" t="s">
        <v>202</v>
      </c>
      <c r="D49" s="359">
        <f>'8'!D19+'8'!D20+'8'!D31</f>
        <v>0</v>
      </c>
      <c r="E49" s="359">
        <f>'8'!E19+'8'!E20+'8'!E31</f>
        <v>0</v>
      </c>
      <c r="F49" s="359">
        <f>'8'!F19+'8'!F20+'8'!F31</f>
        <v>0</v>
      </c>
      <c r="G49" s="359">
        <f>'8'!G19+'8'!G20+'8'!G31</f>
        <v>0</v>
      </c>
      <c r="H49" s="359">
        <f>'8'!H19+'8'!H20+'8'!H31</f>
        <v>0</v>
      </c>
      <c r="I49" s="359">
        <f>'8'!I19+'8'!I20+'8'!I31</f>
        <v>0</v>
      </c>
      <c r="J49" s="359">
        <f>'8'!J19+'8'!J20+'8'!J31</f>
        <v>0</v>
      </c>
      <c r="K49" s="359">
        <f>'8'!K19+'8'!K20+'8'!K31</f>
        <v>0</v>
      </c>
      <c r="L49" s="359">
        <f>'8'!L19+'8'!L20+'8'!L31</f>
        <v>0</v>
      </c>
    </row>
    <row r="50" spans="1:14" x14ac:dyDescent="0.3">
      <c r="A50" s="11"/>
      <c r="B50" s="198" t="s">
        <v>491</v>
      </c>
      <c r="C50" s="18" t="s">
        <v>203</v>
      </c>
      <c r="D50" s="363"/>
      <c r="E50" s="363"/>
      <c r="F50" s="363"/>
      <c r="G50" s="363"/>
      <c r="H50" s="363"/>
      <c r="I50" s="363"/>
      <c r="J50" s="363"/>
      <c r="K50" s="363"/>
      <c r="L50" s="363"/>
      <c r="N50" s="287" t="s">
        <v>551</v>
      </c>
    </row>
    <row r="51" spans="1:14" x14ac:dyDescent="0.3">
      <c r="A51" s="11"/>
      <c r="B51" s="198" t="s">
        <v>492</v>
      </c>
      <c r="C51" s="18" t="s">
        <v>204</v>
      </c>
      <c r="D51" s="363">
        <f>SUM(D52:D55)</f>
        <v>0</v>
      </c>
      <c r="E51" s="363">
        <f t="shared" ref="E51:L51" si="5">SUM(E52:E55)</f>
        <v>0</v>
      </c>
      <c r="F51" s="363">
        <f t="shared" si="5"/>
        <v>0</v>
      </c>
      <c r="G51" s="363">
        <f t="shared" si="5"/>
        <v>0</v>
      </c>
      <c r="H51" s="363">
        <f t="shared" si="5"/>
        <v>0</v>
      </c>
      <c r="I51" s="363">
        <f t="shared" si="5"/>
        <v>0</v>
      </c>
      <c r="J51" s="363">
        <f t="shared" si="5"/>
        <v>0</v>
      </c>
      <c r="K51" s="363">
        <f t="shared" si="5"/>
        <v>0</v>
      </c>
      <c r="L51" s="363">
        <f t="shared" si="5"/>
        <v>0</v>
      </c>
    </row>
    <row r="52" spans="1:14" x14ac:dyDescent="0.3">
      <c r="A52" s="11"/>
      <c r="B52" s="198" t="s">
        <v>493</v>
      </c>
      <c r="C52" s="18" t="s">
        <v>205</v>
      </c>
      <c r="D52" s="359">
        <f>-('8'!D21+'8'!D22)</f>
        <v>0</v>
      </c>
      <c r="E52" s="359">
        <f>-('8'!E21+'8'!E22)</f>
        <v>0</v>
      </c>
      <c r="F52" s="359">
        <f>-('8'!F21+'8'!F22)</f>
        <v>0</v>
      </c>
      <c r="G52" s="359">
        <f>-('8'!G21+'8'!G22)</f>
        <v>0</v>
      </c>
      <c r="H52" s="359">
        <f>-('8'!H21+'8'!H22)</f>
        <v>0</v>
      </c>
      <c r="I52" s="359">
        <f>-('8'!I21+'8'!I22)</f>
        <v>0</v>
      </c>
      <c r="J52" s="359">
        <f>-('8'!J21+'8'!J22)</f>
        <v>0</v>
      </c>
      <c r="K52" s="359">
        <f>-('8'!K21+'8'!K22)</f>
        <v>0</v>
      </c>
      <c r="L52" s="359">
        <f>-('8'!L21+'8'!L22)</f>
        <v>0</v>
      </c>
    </row>
    <row r="53" spans="1:14" x14ac:dyDescent="0.3">
      <c r="A53" s="11"/>
      <c r="B53" s="198" t="s">
        <v>494</v>
      </c>
      <c r="C53" s="18" t="s">
        <v>206</v>
      </c>
      <c r="D53" s="363"/>
      <c r="E53" s="363"/>
      <c r="F53" s="363"/>
      <c r="G53" s="363"/>
      <c r="H53" s="363"/>
      <c r="I53" s="363"/>
      <c r="J53" s="363"/>
      <c r="K53" s="363"/>
      <c r="L53" s="363"/>
      <c r="N53" s="287" t="s">
        <v>551</v>
      </c>
    </row>
    <row r="54" spans="1:14" x14ac:dyDescent="0.3">
      <c r="A54" s="11"/>
      <c r="B54" s="198" t="s">
        <v>495</v>
      </c>
      <c r="C54" s="18" t="s">
        <v>207</v>
      </c>
      <c r="D54" s="359">
        <f>-('8'!D25+'8'!D35)</f>
        <v>0</v>
      </c>
      <c r="E54" s="359">
        <f>-('8'!E25+'8'!E35)</f>
        <v>0</v>
      </c>
      <c r="F54" s="359">
        <f>-('8'!F25+'8'!F35)</f>
        <v>0</v>
      </c>
      <c r="G54" s="359">
        <f>-('8'!G25+'8'!G35)</f>
        <v>0</v>
      </c>
      <c r="H54" s="359">
        <f>-('8'!H25+'8'!H35)</f>
        <v>0</v>
      </c>
      <c r="I54" s="359">
        <f>-('8'!I25+'8'!I35)</f>
        <v>0</v>
      </c>
      <c r="J54" s="359">
        <f>-('8'!J25+'8'!J35)</f>
        <v>0</v>
      </c>
      <c r="K54" s="359">
        <f>-('8'!K25+'8'!K35)</f>
        <v>0</v>
      </c>
      <c r="L54" s="359">
        <f>-('8'!L25+'8'!L35)</f>
        <v>0</v>
      </c>
    </row>
    <row r="55" spans="1:14" x14ac:dyDescent="0.3">
      <c r="A55" s="11"/>
      <c r="B55" s="198" t="s">
        <v>496</v>
      </c>
      <c r="C55" s="18" t="s">
        <v>208</v>
      </c>
      <c r="D55" s="359">
        <f>-'8'!D32</f>
        <v>0</v>
      </c>
      <c r="E55" s="359">
        <f>-'8'!E32</f>
        <v>0</v>
      </c>
      <c r="F55" s="359">
        <f>-'8'!F32</f>
        <v>0</v>
      </c>
      <c r="G55" s="359">
        <f>-'8'!G32</f>
        <v>0</v>
      </c>
      <c r="H55" s="359">
        <f>-'8'!H32</f>
        <v>0</v>
      </c>
      <c r="I55" s="359">
        <f>-'8'!I32</f>
        <v>0</v>
      </c>
      <c r="J55" s="359">
        <f>-'8'!J32</f>
        <v>0</v>
      </c>
      <c r="K55" s="359">
        <f>-'8'!K32</f>
        <v>0</v>
      </c>
      <c r="L55" s="359">
        <f>-'8'!L32</f>
        <v>0</v>
      </c>
    </row>
    <row r="56" spans="1:14" x14ac:dyDescent="0.3">
      <c r="A56" s="11"/>
      <c r="B56" s="198" t="s">
        <v>497</v>
      </c>
      <c r="C56" s="18" t="s">
        <v>209</v>
      </c>
      <c r="D56" s="328"/>
      <c r="E56" s="88"/>
      <c r="F56" s="88"/>
      <c r="G56" s="88"/>
      <c r="H56" s="88"/>
      <c r="I56" s="88"/>
      <c r="J56" s="88"/>
      <c r="K56" s="88"/>
      <c r="L56" s="88"/>
    </row>
    <row r="57" spans="1:14" x14ac:dyDescent="0.3">
      <c r="A57" s="11"/>
      <c r="B57" s="198" t="s">
        <v>498</v>
      </c>
      <c r="C57" s="18" t="s">
        <v>210</v>
      </c>
      <c r="D57" s="316"/>
      <c r="E57" s="88"/>
      <c r="F57" s="88"/>
      <c r="G57" s="88"/>
      <c r="H57" s="88"/>
      <c r="I57" s="88"/>
      <c r="J57" s="88"/>
      <c r="K57" s="88"/>
      <c r="L57" s="88"/>
    </row>
    <row r="58" spans="1:14" ht="28.95" customHeight="1" x14ac:dyDescent="0.3">
      <c r="A58" s="11"/>
      <c r="B58" s="198" t="s">
        <v>487</v>
      </c>
      <c r="C58" s="18" t="s">
        <v>211</v>
      </c>
      <c r="D58" s="328"/>
      <c r="E58" s="359">
        <f>SUMIFS('5'!$F:$F,'5'!$B:$B,"Paramos išmokėjimas*",'5'!$C:$C,"&gt;="&amp;DATE('9.3'!E6,1,1),'5'!$C:$C,"&lt;="&amp;DATE('9.3'!E6,12,31))+SUMIFS('5'!$C$14,'9.3'!E$6,YEAR('5'!$C$15))</f>
        <v>0</v>
      </c>
      <c r="F58" s="359">
        <f>SUMIFS('5'!$F:$F,'5'!$B:$B,"Paramos išmokėjimas*",'5'!$C:$C,"&gt;="&amp;DATE('9.3'!F6,1,1),'5'!$C:$C,"&lt;="&amp;DATE('9.3'!F6,12,31))+SUMIFS('5'!$C$14,'9.3'!F$6,YEAR('5'!$C$15))</f>
        <v>0</v>
      </c>
      <c r="G58" s="359">
        <f>SUMIFS('5'!$F:$F,'5'!$B:$B,"Paramos išmokėjimas*",'5'!$C:$C,"&gt;="&amp;DATE('9.3'!G6,1,1),'5'!$C:$C,"&lt;="&amp;DATE('9.3'!G6,12,31))+SUMIFS('5'!$C$14,'9.3'!G$6,YEAR('5'!$C$15))</f>
        <v>0</v>
      </c>
      <c r="H58" s="359">
        <f>SUMIFS('5'!$F:$F,'5'!$B:$B,"Paramos išmokėjimas*",'5'!$C:$C,"&gt;="&amp;DATE('9.3'!H6,1,1),'5'!$C:$C,"&lt;="&amp;DATE('9.3'!H6,12,31))+SUMIFS('5'!$C$14,'9.3'!H$6,YEAR('5'!$C$15))</f>
        <v>0</v>
      </c>
      <c r="I58" s="359">
        <f>SUMIFS('5'!$F:$F,'5'!$B:$B,"Paramos išmokėjimas*",'5'!$C:$C,"&gt;="&amp;DATE('9.3'!I6,1,1),'5'!$C:$C,"&lt;="&amp;DATE('9.3'!I6,12,31))+SUMIFS('5'!$C$14,'9.3'!I$6,YEAR('5'!$C$15))</f>
        <v>0</v>
      </c>
      <c r="J58" s="359">
        <f>SUMIFS('5'!$F:$F,'5'!$B:$B,"Paramos išmokėjimas*",'5'!$C:$C,"&gt;="&amp;DATE('9.3'!J6,1,1),'5'!$C:$C,"&lt;="&amp;DATE('9.3'!J6,12,31))+SUMIFS('5'!$C$14,'9.3'!J$6,YEAR('5'!$C$15))</f>
        <v>0</v>
      </c>
      <c r="K58" s="359">
        <f>SUMIFS('5'!$F:$F,'5'!$B:$B,"Paramos išmokėjimas*",'5'!$C:$C,"&gt;="&amp;DATE('9.3'!K6,1,1),'5'!$C:$C,"&lt;="&amp;DATE('9.3'!K6,12,31))+SUMIFS('5'!$C$14,'9.3'!K$6,YEAR('5'!$C$15))</f>
        <v>0</v>
      </c>
      <c r="L58" s="359">
        <f>SUMIFS('5'!$F:$F,'5'!$B:$B,"Paramos išmokėjimas*",'5'!$C:$C,"&gt;="&amp;DATE('9.3'!L6,1,1),'5'!$C:$C,"&lt;="&amp;DATE('9.3'!L6,12,31))+SUMIFS('5'!$C$14,'9.3'!L$6,YEAR('5'!$C$15))</f>
        <v>0</v>
      </c>
      <c r="M58" s="43"/>
      <c r="N58" s="287" t="s">
        <v>972</v>
      </c>
    </row>
    <row r="59" spans="1:14" ht="24" x14ac:dyDescent="0.3">
      <c r="A59" s="11"/>
      <c r="B59" s="198" t="s">
        <v>486</v>
      </c>
      <c r="C59" s="18" t="s">
        <v>212</v>
      </c>
      <c r="D59" s="316"/>
      <c r="E59" s="323"/>
      <c r="F59" s="323"/>
      <c r="G59" s="323"/>
      <c r="H59" s="323"/>
      <c r="I59" s="323"/>
      <c r="J59" s="323"/>
      <c r="K59" s="323"/>
      <c r="L59" s="323"/>
      <c r="N59" s="287" t="s">
        <v>552</v>
      </c>
    </row>
    <row r="60" spans="1:14" x14ac:dyDescent="0.3">
      <c r="A60" s="11"/>
      <c r="B60" s="204" t="s">
        <v>578</v>
      </c>
      <c r="C60" s="134" t="s">
        <v>213</v>
      </c>
      <c r="D60" s="205">
        <f>SUM(D42,D47)</f>
        <v>0</v>
      </c>
      <c r="E60" s="205">
        <f t="shared" ref="E60:L60" si="6">SUM(E42,E47)</f>
        <v>0</v>
      </c>
      <c r="F60" s="205">
        <f t="shared" si="6"/>
        <v>0</v>
      </c>
      <c r="G60" s="205">
        <f t="shared" si="6"/>
        <v>0</v>
      </c>
      <c r="H60" s="205">
        <f t="shared" si="6"/>
        <v>0</v>
      </c>
      <c r="I60" s="205">
        <f t="shared" si="6"/>
        <v>0</v>
      </c>
      <c r="J60" s="205">
        <f t="shared" si="6"/>
        <v>0</v>
      </c>
      <c r="K60" s="205">
        <f t="shared" si="6"/>
        <v>0</v>
      </c>
      <c r="L60" s="205">
        <f t="shared" si="6"/>
        <v>0</v>
      </c>
    </row>
    <row r="61" spans="1:14" ht="24" x14ac:dyDescent="0.3">
      <c r="A61" s="11"/>
      <c r="B61" s="198" t="s">
        <v>482</v>
      </c>
      <c r="C61" s="18" t="s">
        <v>214</v>
      </c>
      <c r="D61" s="328"/>
      <c r="E61" s="88"/>
      <c r="F61" s="88"/>
      <c r="G61" s="88"/>
      <c r="H61" s="88"/>
      <c r="I61" s="88"/>
      <c r="J61" s="88"/>
      <c r="K61" s="88"/>
      <c r="L61" s="88"/>
      <c r="N61" s="287" t="s">
        <v>552</v>
      </c>
    </row>
    <row r="62" spans="1:14" ht="24" x14ac:dyDescent="0.3">
      <c r="A62" s="11"/>
      <c r="B62" s="200" t="s">
        <v>483</v>
      </c>
      <c r="C62" s="171" t="s">
        <v>215</v>
      </c>
      <c r="D62" s="181">
        <f t="shared" ref="D62:L62" si="7">SUM(D29,D40,D60,D61)</f>
        <v>0</v>
      </c>
      <c r="E62" s="181">
        <f t="shared" si="7"/>
        <v>0</v>
      </c>
      <c r="F62" s="181">
        <f t="shared" si="7"/>
        <v>0</v>
      </c>
      <c r="G62" s="181">
        <f t="shared" si="7"/>
        <v>0</v>
      </c>
      <c r="H62" s="181">
        <f t="shared" si="7"/>
        <v>0</v>
      </c>
      <c r="I62" s="181">
        <f t="shared" si="7"/>
        <v>0</v>
      </c>
      <c r="J62" s="181">
        <f t="shared" si="7"/>
        <v>0</v>
      </c>
      <c r="K62" s="181">
        <f t="shared" si="7"/>
        <v>0</v>
      </c>
      <c r="L62" s="181">
        <f t="shared" si="7"/>
        <v>0</v>
      </c>
    </row>
    <row r="63" spans="1:14" x14ac:dyDescent="0.3">
      <c r="A63" s="11"/>
      <c r="B63" s="200" t="s">
        <v>484</v>
      </c>
      <c r="C63" s="171" t="s">
        <v>216</v>
      </c>
      <c r="D63" s="328"/>
      <c r="E63" s="181">
        <f>+D64</f>
        <v>0</v>
      </c>
      <c r="F63" s="181">
        <f t="shared" ref="F63:L63" si="8">+E64</f>
        <v>0</v>
      </c>
      <c r="G63" s="181">
        <f t="shared" si="8"/>
        <v>0</v>
      </c>
      <c r="H63" s="181">
        <f t="shared" si="8"/>
        <v>0</v>
      </c>
      <c r="I63" s="181">
        <f t="shared" si="8"/>
        <v>0</v>
      </c>
      <c r="J63" s="181">
        <f t="shared" si="8"/>
        <v>0</v>
      </c>
      <c r="K63" s="181">
        <f t="shared" si="8"/>
        <v>0</v>
      </c>
      <c r="L63" s="181">
        <f t="shared" si="8"/>
        <v>0</v>
      </c>
    </row>
    <row r="64" spans="1:14" ht="22.8" x14ac:dyDescent="0.3">
      <c r="A64" s="11"/>
      <c r="B64" s="204" t="s">
        <v>485</v>
      </c>
      <c r="C64" s="134" t="s">
        <v>217</v>
      </c>
      <c r="D64" s="205">
        <f>D62+D63</f>
        <v>0</v>
      </c>
      <c r="E64" s="205">
        <f t="shared" ref="E64:L64" si="9">+E63+E62</f>
        <v>0</v>
      </c>
      <c r="F64" s="205">
        <f t="shared" si="9"/>
        <v>0</v>
      </c>
      <c r="G64" s="205">
        <f t="shared" si="9"/>
        <v>0</v>
      </c>
      <c r="H64" s="205">
        <f t="shared" si="9"/>
        <v>0</v>
      </c>
      <c r="I64" s="205">
        <f t="shared" si="9"/>
        <v>0</v>
      </c>
      <c r="J64" s="205">
        <f t="shared" si="9"/>
        <v>0</v>
      </c>
      <c r="K64" s="205">
        <f t="shared" si="9"/>
        <v>0</v>
      </c>
      <c r="L64" s="205">
        <f t="shared" si="9"/>
        <v>0</v>
      </c>
      <c r="M64" s="43"/>
      <c r="N64" s="269" t="str">
        <f>IF(COUNTIFS(D64:L64,"&lt;0")&gt;0,"Klaida! Pinigų likutis negali būti neigiamas!","ok")</f>
        <v>ok</v>
      </c>
    </row>
    <row r="65" spans="14:14" x14ac:dyDescent="0.3">
      <c r="N65" s="269" t="str">
        <f>IF(ABS(D64-'9.1'!D32)&gt;1,"Klaida! Ataskaitiniais metais pinigų likutis balanse ir pinigų srautų ataskaitoje nesutampa","ok")</f>
        <v>ok</v>
      </c>
    </row>
  </sheetData>
  <sheetProtection algorithmName="SHA-512" hashValue="IHqRLgWk+uytWot81Wdm0g9AO0zPdzsjy2WEfXFIj9Bew5thNUAjhlCadOIfgelcWmm4Jj3zrj5U0rv+xn3/8Q==" saltValue="0IjEu4U4foMHkRx0PDOM2g==" spinCount="100000" sheet="1" objects="1" scenarios="1" formatRows="0" insertRows="0"/>
  <mergeCells count="3">
    <mergeCell ref="B5:B6"/>
    <mergeCell ref="C5:C6"/>
    <mergeCell ref="E5:L5"/>
  </mergeCells>
  <conditionalFormatting sqref="D57">
    <cfRule type="expression" dxfId="16" priority="26">
      <formula>ABS(D$13)&gt;D$12</formula>
    </cfRule>
  </conditionalFormatting>
  <conditionalFormatting sqref="D59">
    <cfRule type="expression" dxfId="15" priority="25">
      <formula>ABS(D$13)&gt;D$12</formula>
    </cfRule>
  </conditionalFormatting>
  <conditionalFormatting sqref="D2:L2">
    <cfRule type="cellIs" dxfId="14" priority="17" operator="between">
      <formula>0.0001</formula>
      <formula>3</formula>
    </cfRule>
    <cfRule type="cellIs" dxfId="13" priority="18" operator="between">
      <formula>-3</formula>
      <formula>-0.0001</formula>
    </cfRule>
    <cfRule type="cellIs" dxfId="12" priority="19" operator="lessThan">
      <formula>-3</formula>
    </cfRule>
    <cfRule type="cellIs" dxfId="11" priority="20" operator="greaterThan">
      <formula>3</formula>
    </cfRule>
  </conditionalFormatting>
  <conditionalFormatting sqref="D6:L6">
    <cfRule type="expression" dxfId="10" priority="2">
      <formula>D6="-"</formula>
    </cfRule>
  </conditionalFormatting>
  <conditionalFormatting sqref="D33:L33 D35:L35 D38:D39">
    <cfRule type="expression" dxfId="8" priority="6">
      <formula>ABS(D$13)&gt;D$12</formula>
    </cfRule>
  </conditionalFormatting>
  <conditionalFormatting sqref="D45:L46">
    <cfRule type="expression" dxfId="7" priority="1">
      <formula>ABS(D$13)&gt;D$12</formula>
    </cfRule>
  </conditionalFormatting>
  <conditionalFormatting sqref="D64:L64">
    <cfRule type="expression" dxfId="6" priority="16">
      <formula>D$64&lt;0</formula>
    </cfRule>
  </conditionalFormatting>
  <conditionalFormatting sqref="N2">
    <cfRule type="expression" dxfId="5" priority="12">
      <formula>N2&lt;&gt;"ok"</formula>
    </cfRule>
  </conditionalFormatting>
  <conditionalFormatting sqref="N64:N65">
    <cfRule type="expression" dxfId="4" priority="8">
      <formula>ISNUMBER(SEARCH("Klaida", N64))</formula>
    </cfRule>
  </conditionalFormatting>
  <dataValidations count="1">
    <dataValidation type="whole" operator="lessThan" allowBlank="1" showInputMessage="1" showErrorMessage="1" error="įveskskite neigiamą skaičių" prompt="Įveskite neigiamą skaičių" sqref="D33:L33 D59 D45:L46 D57 D35:L35" xr:uid="{00000000-0002-0000-0D00-000000000000}">
      <formula1>0</formula1>
    </dataValidation>
  </dataValidations>
  <pageMargins left="0.70866141732283472" right="0.70866141732283472" top="0.74803149606299213" bottom="0.74803149606299213" header="0.31496062992125984" footer="0.31496062992125984"/>
  <pageSetup paperSize="9" pageOrder="overThenDown"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3" id="{A88C7DF4-89D6-402F-BF86-9E85124C60E0}">
            <xm:f>AND(D6&gt;=YEAR(Parametrai!$C$13),D6&lt;=MIN(YEAR('1'!$C$18),YEAR(EOMONTH(Parametrai!$C$13,Parametrai!$C$14)),IF(Parametrai!$C$16&lt;&gt;0,YEAR(Parametrai!$C$16),YEAR(EOMONTH(Parametrai!$C$13,Parametrai!$C$14)))))</xm:f>
            <x14:dxf>
              <fill>
                <patternFill>
                  <bgColor rgb="FFFFF0D2"/>
                </patternFill>
              </fill>
            </x14:dxf>
          </x14:cfRule>
          <xm:sqref>D6:L6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apas15">
    <tabColor theme="8" tint="-0.499984740745262"/>
  </sheetPr>
  <dimension ref="A1:Q23"/>
  <sheetViews>
    <sheetView tabSelected="1" zoomScale="70" zoomScaleNormal="70" workbookViewId="0">
      <pane xSplit="2" ySplit="4" topLeftCell="C5" activePane="bottomRight" state="frozen"/>
      <selection activeCell="B14" sqref="B14:L14"/>
      <selection pane="topRight" activeCell="B14" sqref="B14:L14"/>
      <selection pane="bottomLeft" activeCell="B14" sqref="B14:L14"/>
      <selection pane="bottomRight" activeCell="W13" sqref="W13"/>
    </sheetView>
  </sheetViews>
  <sheetFormatPr defaultColWidth="8.6640625" defaultRowHeight="13.8" x14ac:dyDescent="0.3"/>
  <cols>
    <col min="1" max="1" width="4.88671875" style="3" customWidth="1"/>
    <col min="2" max="2" width="20.33203125" style="1" customWidth="1"/>
    <col min="3" max="3" width="10.44140625" style="1" customWidth="1"/>
    <col min="4" max="4" width="11" style="3" customWidth="1"/>
    <col min="5" max="13" width="10" style="3" customWidth="1"/>
    <col min="14" max="14" width="10" style="4" customWidth="1"/>
    <col min="15" max="15" width="3.88671875" style="4" customWidth="1"/>
    <col min="16" max="16" width="32.6640625" style="4" customWidth="1"/>
    <col min="17" max="17" width="16.33203125" style="3" customWidth="1"/>
    <col min="18" max="16384" width="8.6640625" style="3"/>
  </cols>
  <sheetData>
    <row r="1" spans="1:17" x14ac:dyDescent="0.3">
      <c r="A1" s="140" t="s">
        <v>157</v>
      </c>
      <c r="B1" s="532" t="s">
        <v>6</v>
      </c>
      <c r="C1" s="532"/>
      <c r="D1" s="532"/>
      <c r="E1" s="532"/>
      <c r="F1" s="532"/>
      <c r="G1" s="532"/>
      <c r="H1" s="392"/>
      <c r="I1" s="392"/>
      <c r="J1" s="165"/>
      <c r="K1" s="165"/>
      <c r="L1" s="165"/>
      <c r="M1" s="165"/>
      <c r="N1" s="175"/>
      <c r="P1" s="290" t="s">
        <v>293</v>
      </c>
    </row>
    <row r="2" spans="1:17" x14ac:dyDescent="0.3">
      <c r="P2" s="291"/>
    </row>
    <row r="3" spans="1:17" ht="39.6" x14ac:dyDescent="0.3">
      <c r="A3" s="518" t="s">
        <v>22</v>
      </c>
      <c r="B3" s="533" t="s">
        <v>77</v>
      </c>
      <c r="C3" s="185" t="s">
        <v>218</v>
      </c>
      <c r="D3" s="131" t="str">
        <f>IF(AND('1'!$C$22="Verslo pradžia",YEAR('1'!$E$22)=YEAR('1'!$C$11)),"Pradžios metai","Ataskaitiniai metai")</f>
        <v>Pradžios metai</v>
      </c>
      <c r="E3" s="172" t="s">
        <v>12</v>
      </c>
      <c r="F3" s="391"/>
      <c r="G3" s="391"/>
      <c r="H3" s="391"/>
      <c r="I3" s="391"/>
      <c r="J3" s="391"/>
      <c r="K3" s="391"/>
      <c r="L3" s="391"/>
      <c r="M3" s="4"/>
      <c r="N3" s="291"/>
      <c r="O3" s="3"/>
      <c r="P3" s="3"/>
    </row>
    <row r="4" spans="1:17" ht="15" customHeight="1" thickBot="1" x14ac:dyDescent="0.35">
      <c r="A4" s="519"/>
      <c r="B4" s="534"/>
      <c r="C4" s="132" t="str">
        <f>_xlfn.CONCAT("",YEAR(Parametrai!$C$13)-2)</f>
        <v>2024</v>
      </c>
      <c r="D4" s="342">
        <f>IF(D3="Pradžios metai",YEAR('1'!$E$22),IF((YEAR('1'!$C$11)-1)+COUNT($C4:C4)&gt;YEAR('1'!$C$18)+Parametrai!$C$15,"-",(YEAR('1'!$C$11)-1)+COUNT($C4:C4)))</f>
        <v>1900</v>
      </c>
      <c r="E4" s="342">
        <f>IF(E3="Pradžios metai",YEAR('1'!$E$22),IF((YEAR('1'!$C$11)-1)+COUNT($C4:D4)&gt;YEAR('1'!$C$18)+Parametrai!$C$15,"-",(YEAR('1'!$C$11)-1)+COUNT($C4:D4)))</f>
        <v>1900</v>
      </c>
      <c r="F4" s="342">
        <f>IF(F3="Pradžios metai",YEAR('1'!$E$22),IF((YEAR('1'!$C$11)-1)+COUNT($C4:E4)&gt;YEAR('1'!$C$18)+Parametrai!$C$15,"-",(YEAR('1'!$C$11)-1)+COUNT($C4:E4)))</f>
        <v>1901</v>
      </c>
      <c r="G4" s="342">
        <f>IF(G3="Pradžios metai",YEAR('1'!$E$22),IF((YEAR('1'!$C$11)-1)+COUNT($C4:F4)&gt;YEAR('1'!$C$18)+Parametrai!$C$15,"-",(YEAR('1'!$C$11)-1)+COUNT($C4:F4)))</f>
        <v>1902</v>
      </c>
      <c r="H4" s="342">
        <f>IF(H3="Pradžios metai",YEAR('1'!$E$22),IF((YEAR('1'!$C$11)-1)+COUNT($C4:G4)&gt;YEAR('1'!$C$18)+Parametrai!$C$15,"-",(YEAR('1'!$C$11)-1)+COUNT($C4:G4)))</f>
        <v>1903</v>
      </c>
      <c r="I4" s="342" t="str">
        <f>IF(I3="Pradžios metai",YEAR('1'!$E$22),IF((YEAR('1'!$C$11)-1)+COUNT($C4:H4)&gt;YEAR('1'!$C$18)+Parametrai!$C$15,"-",(YEAR('1'!$C$11)-1)+COUNT($C4:H4)))</f>
        <v>-</v>
      </c>
      <c r="J4" s="342" t="str">
        <f>IF(J3="Pradžios metai",YEAR('1'!$E$22),IF((YEAR('1'!$C$11)-1)+COUNT($C4:I4)&gt;YEAR('1'!$C$18)+Parametrai!$C$15,"-",(YEAR('1'!$C$11)-1)+COUNT($C4:I4)))</f>
        <v>-</v>
      </c>
      <c r="K4" s="342" t="str">
        <f>IF(K3="Pradžios metai",YEAR('1'!$E$22),IF((YEAR('1'!$C$11)-1)+COUNT($C4:J4)&gt;YEAR('1'!$C$18)+Parametrai!$C$15,"-",(YEAR('1'!$C$11)-1)+COUNT($C4:J4)))</f>
        <v>-</v>
      </c>
      <c r="L4" s="342" t="str">
        <f>IF(L3="Pradžios metai",YEAR('1'!$E$22),IF((YEAR('1'!$C$11)-1)+COUNT($C4:K4)&gt;YEAR('1'!$C$18)+Parametrai!$C$15,"-",(YEAR('1'!$C$11)-1)+COUNT($C4:K4)))</f>
        <v>-</v>
      </c>
      <c r="M4" s="4"/>
      <c r="N4" s="291"/>
      <c r="O4" s="535" t="s">
        <v>242</v>
      </c>
      <c r="P4" s="535"/>
    </row>
    <row r="5" spans="1:17" ht="14.4" thickTop="1" x14ac:dyDescent="0.3">
      <c r="A5" s="256" t="s">
        <v>425</v>
      </c>
      <c r="B5" s="186" t="s">
        <v>219</v>
      </c>
      <c r="C5" s="336"/>
      <c r="D5" s="366" t="str">
        <f>IFERROR((SUM('9.3'!D29,'9.3'!D58)/-SUM('9.3'!D52,'9.3'!D55,'9.3'!D54)),"-")</f>
        <v>-</v>
      </c>
      <c r="E5" s="366" t="str">
        <f>IFERROR((SUM('9.3'!E29,'9.3'!E58)/-SUM('9.3'!E52,'9.3'!E55,'9.3'!E54)),"-")</f>
        <v>-</v>
      </c>
      <c r="F5" s="366" t="str">
        <f>IFERROR((SUM('9.3'!F29,'9.3'!F58)/-SUM('9.3'!F52,'9.3'!F55,'9.3'!F54)),"-")</f>
        <v>-</v>
      </c>
      <c r="G5" s="366" t="str">
        <f>IFERROR((SUM('9.3'!G29,'9.3'!G58)/-SUM('9.3'!G52,'9.3'!G55,'9.3'!G54)),"-")</f>
        <v>-</v>
      </c>
      <c r="H5" s="366" t="str">
        <f>IFERROR((SUM('9.3'!H29,'9.3'!H58)/-SUM('9.3'!H52,'9.3'!H55,'9.3'!H54)),"-")</f>
        <v>-</v>
      </c>
      <c r="I5" s="366" t="str">
        <f>IFERROR((SUM('9.3'!I29,'9.3'!I58)/-SUM('9.3'!I52,'9.3'!I55,'9.3'!I54)),"-")</f>
        <v>-</v>
      </c>
      <c r="J5" s="366" t="str">
        <f>IFERROR((SUM('9.3'!J29,'9.3'!J58)/-SUM('9.3'!J52,'9.3'!J55,'9.3'!J54)),"-")</f>
        <v>-</v>
      </c>
      <c r="K5" s="366" t="str">
        <f>IFERROR((SUM('9.3'!K29,'9.3'!K58)/-SUM('9.3'!K52,'9.3'!K55,'9.3'!K54)),"-")</f>
        <v>-</v>
      </c>
      <c r="L5" s="366" t="str">
        <f>IFERROR((SUM('9.3'!L29,'9.3'!L58)/-SUM('9.3'!L52,'9.3'!L55,'9.3'!L54)),"-")</f>
        <v>-</v>
      </c>
      <c r="M5" s="43"/>
      <c r="N5" s="291"/>
      <c r="O5" s="530">
        <f>Parametrai!C21</f>
        <v>1.25</v>
      </c>
      <c r="P5" s="530"/>
      <c r="Q5" s="3" t="s">
        <v>984</v>
      </c>
    </row>
    <row r="6" spans="1:17" x14ac:dyDescent="0.3">
      <c r="A6" s="257" t="s">
        <v>424</v>
      </c>
      <c r="B6" s="187" t="s">
        <v>220</v>
      </c>
      <c r="C6" s="336"/>
      <c r="D6" s="367" t="str">
        <f>IFERROR('9.1'!D50/'9.1'!D34,"-")</f>
        <v>-</v>
      </c>
      <c r="E6" s="367" t="str">
        <f>IFERROR('9.1'!E50/'9.1'!E34,"-")</f>
        <v>-</v>
      </c>
      <c r="F6" s="367" t="str">
        <f>IFERROR('9.1'!F50/'9.1'!F34,"-")</f>
        <v>-</v>
      </c>
      <c r="G6" s="367" t="str">
        <f>IFERROR('9.1'!G50/'9.1'!G34,"-")</f>
        <v>-</v>
      </c>
      <c r="H6" s="367" t="str">
        <f>IFERROR('9.1'!H50/'9.1'!H34,"-")</f>
        <v>-</v>
      </c>
      <c r="I6" s="367" t="str">
        <f>IFERROR('9.1'!I50/'9.1'!I34,"-")</f>
        <v>-</v>
      </c>
      <c r="J6" s="367" t="str">
        <f>IFERROR('9.1'!J50/'9.1'!J34,"-")</f>
        <v>-</v>
      </c>
      <c r="K6" s="367" t="str">
        <f>IFERROR('9.1'!K50/'9.1'!K34,"-")</f>
        <v>-</v>
      </c>
      <c r="L6" s="367" t="str">
        <f>IFERROR('9.1'!L50/'9.1'!L34,"-")</f>
        <v>-</v>
      </c>
      <c r="M6" s="43"/>
      <c r="N6" s="291"/>
      <c r="O6" s="530">
        <f>Parametrai!C22</f>
        <v>0.65</v>
      </c>
      <c r="P6" s="530"/>
      <c r="Q6" s="3" t="s">
        <v>983</v>
      </c>
    </row>
    <row r="7" spans="1:17" x14ac:dyDescent="0.3">
      <c r="A7" s="257" t="s">
        <v>426</v>
      </c>
      <c r="B7" s="187" t="s">
        <v>221</v>
      </c>
      <c r="C7" s="337"/>
      <c r="D7" s="368" t="str">
        <f>IFERROR('9.2'!D24/'9.2'!D7,"-")</f>
        <v>-</v>
      </c>
      <c r="E7" s="368" t="str">
        <f>IFERROR('9.2'!E24/'9.2'!E7,"-")</f>
        <v>-</v>
      </c>
      <c r="F7" s="368" t="str">
        <f>IFERROR('9.2'!F24/'9.2'!F7,"-")</f>
        <v>-</v>
      </c>
      <c r="G7" s="368" t="str">
        <f>IFERROR('9.2'!G24/'9.2'!G7,"-")</f>
        <v>-</v>
      </c>
      <c r="H7" s="368" t="str">
        <f>IFERROR('9.2'!H24/'9.2'!H7,"-")</f>
        <v>-</v>
      </c>
      <c r="I7" s="368" t="str">
        <f>IFERROR('9.2'!I24/'9.2'!I7,"-")</f>
        <v>-</v>
      </c>
      <c r="J7" s="368" t="str">
        <f>IFERROR('9.2'!J24/'9.2'!J7,"-")</f>
        <v>-</v>
      </c>
      <c r="K7" s="368" t="str">
        <f>IFERROR('9.2'!K24/'9.2'!K7,"-")</f>
        <v>-</v>
      </c>
      <c r="L7" s="368" t="str">
        <f>IFERROR('9.2'!L24/'9.2'!L7,"-")</f>
        <v>-</v>
      </c>
      <c r="M7" s="43"/>
      <c r="N7" s="291"/>
      <c r="O7" s="531">
        <f>Parametrai!C23</f>
        <v>0</v>
      </c>
      <c r="P7" s="531"/>
      <c r="Q7" s="3" t="s">
        <v>982</v>
      </c>
    </row>
    <row r="8" spans="1:17" ht="26.4" x14ac:dyDescent="0.3">
      <c r="A8" s="257" t="s">
        <v>427</v>
      </c>
      <c r="B8" s="187" t="s">
        <v>237</v>
      </c>
      <c r="C8" s="336"/>
      <c r="D8" s="366" t="str">
        <f>IFERROR('9.1'!D20/'9.1'!D57,"-")</f>
        <v>-</v>
      </c>
      <c r="E8" s="366" t="str">
        <f>IFERROR('9.1'!E20/'9.1'!E57,"-")</f>
        <v>-</v>
      </c>
      <c r="F8" s="366" t="str">
        <f>IFERROR('9.1'!F20/'9.1'!F57,"-")</f>
        <v>-</v>
      </c>
      <c r="G8" s="366" t="str">
        <f>IFERROR('9.1'!G20/'9.1'!G57,"-")</f>
        <v>-</v>
      </c>
      <c r="H8" s="366" t="str">
        <f>IFERROR('9.1'!H20/'9.1'!H57,"-")</f>
        <v>-</v>
      </c>
      <c r="I8" s="366" t="str">
        <f>IFERROR('9.1'!I20/'9.1'!I57,"-")</f>
        <v>-</v>
      </c>
      <c r="J8" s="366" t="str">
        <f>IFERROR('9.1'!J20/'9.1'!J57,"-")</f>
        <v>-</v>
      </c>
      <c r="K8" s="366" t="str">
        <f>IFERROR('9.1'!K20/'9.1'!K57,"-")</f>
        <v>-</v>
      </c>
      <c r="L8" s="366" t="str">
        <f>IFERROR('9.1'!L20/'9.1'!L57,"-")</f>
        <v>-</v>
      </c>
      <c r="M8" s="4"/>
      <c r="N8" s="291"/>
      <c r="O8" s="530">
        <f>Parametrai!C24</f>
        <v>1</v>
      </c>
      <c r="P8" s="530"/>
      <c r="Q8" s="3" t="s">
        <v>981</v>
      </c>
    </row>
    <row r="9" spans="1:17" x14ac:dyDescent="0.3">
      <c r="P9" s="291"/>
    </row>
    <row r="10" spans="1:17" x14ac:dyDescent="0.3">
      <c r="M10" s="4"/>
      <c r="O10" s="291"/>
      <c r="P10" s="3"/>
    </row>
    <row r="11" spans="1:17" x14ac:dyDescent="0.3">
      <c r="P11" s="291"/>
    </row>
    <row r="12" spans="1:17" ht="24" customHeight="1" x14ac:dyDescent="0.3">
      <c r="B12" s="537" t="s">
        <v>686</v>
      </c>
      <c r="C12" s="537"/>
      <c r="D12" s="537"/>
      <c r="E12" s="537"/>
      <c r="F12" s="537"/>
      <c r="G12" s="537"/>
      <c r="H12" s="537"/>
      <c r="I12" s="537"/>
      <c r="J12" s="537"/>
      <c r="K12" s="537"/>
      <c r="L12" s="537"/>
      <c r="M12" s="2"/>
      <c r="N12" s="2"/>
      <c r="P12" s="291"/>
    </row>
    <row r="13" spans="1:17" ht="148.19999999999999" customHeight="1" x14ac:dyDescent="0.3">
      <c r="B13" s="536" t="s">
        <v>682</v>
      </c>
      <c r="C13" s="536"/>
      <c r="D13" s="536"/>
      <c r="E13" s="536"/>
      <c r="F13" s="536"/>
      <c r="G13" s="536"/>
      <c r="H13" s="536"/>
      <c r="I13" s="536"/>
      <c r="J13" s="536"/>
      <c r="K13" s="536"/>
      <c r="L13" s="536"/>
      <c r="M13" s="412"/>
      <c r="N13" s="412"/>
      <c r="P13" s="291"/>
    </row>
    <row r="14" spans="1:17" ht="63.6" customHeight="1" x14ac:dyDescent="0.3">
      <c r="B14" s="536" t="s">
        <v>683</v>
      </c>
      <c r="C14" s="536"/>
      <c r="D14" s="536"/>
      <c r="E14" s="536"/>
      <c r="F14" s="536"/>
      <c r="G14" s="536"/>
      <c r="H14" s="536"/>
      <c r="I14" s="536"/>
      <c r="J14" s="536"/>
      <c r="K14" s="536"/>
      <c r="L14" s="536"/>
      <c r="M14" s="412"/>
      <c r="N14" s="412"/>
      <c r="P14" s="291"/>
    </row>
    <row r="15" spans="1:17" ht="79.95" customHeight="1" x14ac:dyDescent="0.3">
      <c r="B15" s="536" t="s">
        <v>684</v>
      </c>
      <c r="C15" s="536"/>
      <c r="D15" s="536"/>
      <c r="E15" s="536"/>
      <c r="F15" s="536"/>
      <c r="G15" s="536"/>
      <c r="H15" s="536"/>
      <c r="I15" s="536"/>
      <c r="J15" s="536"/>
      <c r="K15" s="536"/>
      <c r="L15" s="536"/>
      <c r="M15" s="412"/>
      <c r="N15" s="412"/>
      <c r="P15" s="291"/>
    </row>
    <row r="16" spans="1:17" ht="95.4" customHeight="1" x14ac:dyDescent="0.3">
      <c r="B16" s="536" t="s">
        <v>975</v>
      </c>
      <c r="C16" s="536"/>
      <c r="D16" s="536"/>
      <c r="E16" s="536"/>
      <c r="F16" s="536"/>
      <c r="G16" s="536"/>
      <c r="H16" s="536"/>
      <c r="I16" s="536"/>
      <c r="J16" s="536"/>
      <c r="K16" s="536"/>
      <c r="L16" s="536"/>
      <c r="M16" s="412"/>
      <c r="N16" s="412"/>
      <c r="P16" s="291"/>
    </row>
    <row r="17" spans="2:16" ht="60.6" customHeight="1" x14ac:dyDescent="0.3">
      <c r="B17" s="536" t="s">
        <v>685</v>
      </c>
      <c r="C17" s="536"/>
      <c r="D17" s="536"/>
      <c r="E17" s="536"/>
      <c r="F17" s="536"/>
      <c r="G17" s="536"/>
      <c r="H17" s="536"/>
      <c r="I17" s="536"/>
      <c r="J17" s="536"/>
      <c r="K17" s="536"/>
      <c r="L17" s="536"/>
      <c r="M17" s="412"/>
      <c r="N17" s="412"/>
      <c r="P17" s="291"/>
    </row>
    <row r="18" spans="2:16" x14ac:dyDescent="0.3">
      <c r="B18" s="4"/>
    </row>
    <row r="19" spans="2:16" x14ac:dyDescent="0.3">
      <c r="B19" s="4"/>
    </row>
    <row r="21" spans="2:16" x14ac:dyDescent="0.3">
      <c r="B21" s="4"/>
    </row>
    <row r="22" spans="2:16" x14ac:dyDescent="0.3">
      <c r="B22" s="4"/>
    </row>
    <row r="23" spans="2:16" x14ac:dyDescent="0.3">
      <c r="B23" s="4"/>
    </row>
  </sheetData>
  <sheetProtection algorithmName="SHA-512" hashValue="J9dJBvz25ZjtoRJSwxkZmL5rRbcgmhrp+BRMWFQjfiBaa+izi2iPfdOONPADJi8iKtXd7Xe8kSRQG5J+BFQFWg==" saltValue="Kcf/oYEnFpHzRi6IxDCnPQ==" spinCount="100000" sheet="1" formatRows="0" insertRows="0"/>
  <protectedRanges>
    <protectedRange algorithmName="SHA-512" hashValue="q/ia0f52IqsZyfFNKmOm4pEMWBX5RdT/ztagFaxhRngs6h1c59HAPPx2eiV/uF1LvuBkdFszI5Y8ZSku7ily3Q==" saltValue="7JfAz0H7StOuuSbhTtyZMw==" spinCount="100000" sqref="A5:B8" name="Range1"/>
  </protectedRanges>
  <mergeCells count="14">
    <mergeCell ref="B15:L15"/>
    <mergeCell ref="B16:L16"/>
    <mergeCell ref="B17:L17"/>
    <mergeCell ref="O8:P8"/>
    <mergeCell ref="B14:L14"/>
    <mergeCell ref="B13:L13"/>
    <mergeCell ref="B12:L12"/>
    <mergeCell ref="O6:P6"/>
    <mergeCell ref="O7:P7"/>
    <mergeCell ref="B1:G1"/>
    <mergeCell ref="B3:B4"/>
    <mergeCell ref="A3:A4"/>
    <mergeCell ref="O4:P4"/>
    <mergeCell ref="O5:P5"/>
  </mergeCells>
  <conditionalFormatting sqref="D4:L4">
    <cfRule type="expression" dxfId="1" priority="1">
      <formula>D4="-"</formula>
    </cfRule>
  </conditionalFormatting>
  <pageMargins left="0.70866141732283472" right="0.70866141732283472" top="0.74803149606299213" bottom="0.74803149606299213" header="0.31496062992125984" footer="0.31496062992125984"/>
  <pageSetup paperSize="9" pageOrder="overThenDown" orientation="landscape" blackAndWhite="1"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EksportuotiIPDF">
                <anchor moveWithCells="1">
                  <from>
                    <xdr:col>4</xdr:col>
                    <xdr:colOff>533400</xdr:colOff>
                    <xdr:row>8</xdr:row>
                    <xdr:rowOff>99060</xdr:rowOff>
                  </from>
                  <to>
                    <xdr:col>8</xdr:col>
                    <xdr:colOff>236220</xdr:colOff>
                    <xdr:row>10</xdr:row>
                    <xdr:rowOff>137160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9" id="{00000000-000E-0000-0B00-000002000000}">
            <xm:f>IF(ISNUMBER(C5)=FALSE,FALSE,IF(C5&lt;Parametrai!$C21,TRUE,FALSE))</xm:f>
            <x14:dxf>
              <font>
                <color rgb="FFC00000"/>
              </font>
              <fill>
                <patternFill>
                  <bgColor rgb="FFFFCCCC"/>
                </patternFill>
              </fill>
            </x14:dxf>
          </x14:cfRule>
          <xm:sqref>C5:L5 C7:L8</xm:sqref>
        </x14:conditionalFormatting>
        <x14:conditionalFormatting xmlns:xm="http://schemas.microsoft.com/office/excel/2006/main">
          <x14:cfRule type="expression" priority="5" id="{7C7EFDEC-5612-449A-BD82-D30AC6343673}">
            <xm:f>IF(ISNUMBER(C6)=FALSE,FALSE,IF(C6&gt;Parametrai!$C22,TRUE,FALSE))</xm:f>
            <x14:dxf>
              <font>
                <color rgb="FFC00000"/>
              </font>
              <fill>
                <patternFill>
                  <bgColor rgb="FFFFCDCD"/>
                </patternFill>
              </fill>
            </x14:dxf>
          </x14:cfRule>
          <xm:sqref>C6:L6</xm:sqref>
        </x14:conditionalFormatting>
        <x14:conditionalFormatting xmlns:xm="http://schemas.microsoft.com/office/excel/2006/main">
          <x14:cfRule type="expression" priority="2" id="{20835E86-2D2B-4805-B8DE-FBF21CFDAE14}">
            <xm:f>AND(D4&gt;=YEAR(Parametrai!$C$13),D4&lt;=MIN(YEAR('1'!$C$18),YEAR(EOMONTH(Parametrai!$C$13,Parametrai!$C$14)),IF(Parametrai!$C$16&lt;&gt;0,YEAR(Parametrai!$C$16),YEAR(EOMONTH(Parametrai!$C$13,Parametrai!$C$14)))))</xm:f>
            <x14:dxf>
              <fill>
                <patternFill>
                  <bgColor rgb="FFFFF0D2"/>
                </patternFill>
              </fill>
            </x14:dxf>
          </x14:cfRule>
          <xm:sqref>D4:L4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EE9E6-FC6F-4C9D-8034-08A029A6B9EC}">
  <sheetPr codeName="Lapas1">
    <tabColor theme="1"/>
  </sheetPr>
  <dimension ref="A1:C105"/>
  <sheetViews>
    <sheetView topLeftCell="A52" workbookViewId="0">
      <selection activeCell="F81" sqref="F81"/>
    </sheetView>
  </sheetViews>
  <sheetFormatPr defaultRowHeight="14.4" x14ac:dyDescent="0.3"/>
  <cols>
    <col min="1" max="1" width="25.6640625" customWidth="1"/>
  </cols>
  <sheetData>
    <row r="1" spans="1:1" s="60" customFormat="1" x14ac:dyDescent="0.3">
      <c r="A1" s="60" t="s">
        <v>224</v>
      </c>
    </row>
    <row r="2" spans="1:1" s="60" customFormat="1" x14ac:dyDescent="0.3">
      <c r="A2" t="s">
        <v>225</v>
      </c>
    </row>
    <row r="3" spans="1:1" x14ac:dyDescent="0.3">
      <c r="A3" t="s">
        <v>289</v>
      </c>
    </row>
    <row r="4" spans="1:1" x14ac:dyDescent="0.3">
      <c r="A4" t="s">
        <v>288</v>
      </c>
    </row>
    <row r="5" spans="1:1" x14ac:dyDescent="0.3">
      <c r="A5" t="s">
        <v>287</v>
      </c>
    </row>
    <row r="7" spans="1:1" x14ac:dyDescent="0.3">
      <c r="A7" s="60" t="s">
        <v>227</v>
      </c>
    </row>
    <row r="8" spans="1:1" x14ac:dyDescent="0.3">
      <c r="A8" t="s">
        <v>225</v>
      </c>
    </row>
    <row r="9" spans="1:1" x14ac:dyDescent="0.3">
      <c r="A9" t="s">
        <v>286</v>
      </c>
    </row>
    <row r="10" spans="1:1" x14ac:dyDescent="0.3">
      <c r="A10" t="s">
        <v>285</v>
      </c>
    </row>
    <row r="12" spans="1:1" x14ac:dyDescent="0.3">
      <c r="A12" s="60" t="s">
        <v>229</v>
      </c>
    </row>
    <row r="13" spans="1:1" x14ac:dyDescent="0.3">
      <c r="A13" t="s">
        <v>225</v>
      </c>
    </row>
    <row r="14" spans="1:1" x14ac:dyDescent="0.3">
      <c r="A14" t="s">
        <v>284</v>
      </c>
    </row>
    <row r="15" spans="1:1" x14ac:dyDescent="0.3">
      <c r="A15" t="s">
        <v>283</v>
      </c>
    </row>
    <row r="17" spans="1:2" s="60" customFormat="1" x14ac:dyDescent="0.3">
      <c r="A17" s="60" t="s">
        <v>230</v>
      </c>
    </row>
    <row r="18" spans="1:2" x14ac:dyDescent="0.3">
      <c r="A18" t="s">
        <v>225</v>
      </c>
    </row>
    <row r="19" spans="1:2" ht="14.7" customHeight="1" x14ac:dyDescent="0.3">
      <c r="A19" t="s">
        <v>282</v>
      </c>
    </row>
    <row r="20" spans="1:2" ht="14.7" customHeight="1" x14ac:dyDescent="0.3">
      <c r="A20" t="s">
        <v>281</v>
      </c>
    </row>
    <row r="21" spans="1:2" ht="14.7" customHeight="1" x14ac:dyDescent="0.3">
      <c r="A21" t="s">
        <v>280</v>
      </c>
    </row>
    <row r="23" spans="1:2" x14ac:dyDescent="0.3">
      <c r="A23" s="60" t="s">
        <v>234</v>
      </c>
    </row>
    <row r="24" spans="1:2" x14ac:dyDescent="0.3">
      <c r="A24" t="s">
        <v>225</v>
      </c>
    </row>
    <row r="25" spans="1:2" s="60" customFormat="1" ht="14.7" customHeight="1" x14ac:dyDescent="0.3">
      <c r="A25" t="s">
        <v>279</v>
      </c>
    </row>
    <row r="26" spans="1:2" s="60" customFormat="1" ht="14.7" customHeight="1" x14ac:dyDescent="0.3">
      <c r="A26" t="s">
        <v>278</v>
      </c>
    </row>
    <row r="27" spans="1:2" s="60" customFormat="1" ht="14.7" customHeight="1" x14ac:dyDescent="0.3">
      <c r="A27" t="s">
        <v>277</v>
      </c>
    </row>
    <row r="28" spans="1:2" s="60" customFormat="1" ht="14.7" customHeight="1" x14ac:dyDescent="0.3">
      <c r="A28" t="s">
        <v>276</v>
      </c>
    </row>
    <row r="29" spans="1:2" s="60" customFormat="1" ht="14.7" customHeight="1" x14ac:dyDescent="0.3">
      <c r="A29" t="s">
        <v>275</v>
      </c>
    </row>
    <row r="30" spans="1:2" s="60" customFormat="1" ht="14.7" customHeight="1" x14ac:dyDescent="0.3">
      <c r="A30" t="s">
        <v>274</v>
      </c>
    </row>
    <row r="31" spans="1:2" s="60" customFormat="1" ht="14.7" customHeight="1" x14ac:dyDescent="0.3">
      <c r="A31" t="s">
        <v>273</v>
      </c>
    </row>
    <row r="32" spans="1:2" x14ac:dyDescent="0.3">
      <c r="A32" s="61"/>
      <c r="B32" s="61"/>
    </row>
    <row r="33" spans="1:1" s="60" customFormat="1" x14ac:dyDescent="0.3">
      <c r="A33" s="60" t="s">
        <v>243</v>
      </c>
    </row>
    <row r="34" spans="1:1" s="60" customFormat="1" x14ac:dyDescent="0.3">
      <c r="A34" t="s">
        <v>225</v>
      </c>
    </row>
    <row r="35" spans="1:1" ht="14.7" customHeight="1" x14ac:dyDescent="0.3">
      <c r="A35" t="s">
        <v>272</v>
      </c>
    </row>
    <row r="36" spans="1:1" ht="14.7" customHeight="1" x14ac:dyDescent="0.3">
      <c r="A36" t="s">
        <v>271</v>
      </c>
    </row>
    <row r="37" spans="1:1" ht="14.7" customHeight="1" x14ac:dyDescent="0.3">
      <c r="A37" t="s">
        <v>270</v>
      </c>
    </row>
    <row r="38" spans="1:1" ht="14.7" customHeight="1" x14ac:dyDescent="0.3">
      <c r="A38" t="s">
        <v>269</v>
      </c>
    </row>
    <row r="39" spans="1:1" ht="14.7" customHeight="1" x14ac:dyDescent="0.3">
      <c r="A39" t="s">
        <v>268</v>
      </c>
    </row>
    <row r="40" spans="1:1" ht="14.7" customHeight="1" x14ac:dyDescent="0.3">
      <c r="A40" t="s">
        <v>267</v>
      </c>
    </row>
    <row r="42" spans="1:1" s="60" customFormat="1" x14ac:dyDescent="0.3">
      <c r="A42" s="60" t="s">
        <v>266</v>
      </c>
    </row>
    <row r="43" spans="1:1" x14ac:dyDescent="0.3">
      <c r="A43" t="s">
        <v>225</v>
      </c>
    </row>
    <row r="44" spans="1:1" ht="14.7" customHeight="1" x14ac:dyDescent="0.3">
      <c r="A44" t="s">
        <v>265</v>
      </c>
    </row>
    <row r="45" spans="1:1" ht="14.7" customHeight="1" x14ac:dyDescent="0.3">
      <c r="A45" t="s">
        <v>264</v>
      </c>
    </row>
    <row r="47" spans="1:1" s="60" customFormat="1" x14ac:dyDescent="0.3">
      <c r="A47" s="60" t="s">
        <v>263</v>
      </c>
    </row>
    <row r="48" spans="1:1" x14ac:dyDescent="0.3">
      <c r="A48" t="s">
        <v>225</v>
      </c>
    </row>
    <row r="49" spans="1:1" ht="14.7" customHeight="1" x14ac:dyDescent="0.3">
      <c r="A49" t="s">
        <v>262</v>
      </c>
    </row>
    <row r="50" spans="1:1" ht="14.7" customHeight="1" x14ac:dyDescent="0.3">
      <c r="A50" t="s">
        <v>261</v>
      </c>
    </row>
    <row r="51" spans="1:1" ht="14.7" customHeight="1" x14ac:dyDescent="0.3">
      <c r="A51" t="s">
        <v>260</v>
      </c>
    </row>
    <row r="54" spans="1:1" s="60" customFormat="1" x14ac:dyDescent="0.3">
      <c r="A54" s="60" t="s">
        <v>259</v>
      </c>
    </row>
    <row r="55" spans="1:1" x14ac:dyDescent="0.3">
      <c r="A55" t="s">
        <v>225</v>
      </c>
    </row>
    <row r="56" spans="1:1" ht="14.7" customHeight="1" x14ac:dyDescent="0.3">
      <c r="A56" t="s">
        <v>258</v>
      </c>
    </row>
    <row r="57" spans="1:1" ht="14.7" customHeight="1" x14ac:dyDescent="0.3">
      <c r="A57" t="s">
        <v>257</v>
      </c>
    </row>
    <row r="60" spans="1:1" s="60" customFormat="1" x14ac:dyDescent="0.3">
      <c r="A60" s="60" t="s">
        <v>256</v>
      </c>
    </row>
    <row r="61" spans="1:1" x14ac:dyDescent="0.3">
      <c r="A61" t="s">
        <v>225</v>
      </c>
    </row>
    <row r="62" spans="1:1" ht="14.7" customHeight="1" x14ac:dyDescent="0.3">
      <c r="A62" t="s">
        <v>255</v>
      </c>
    </row>
    <row r="63" spans="1:1" ht="14.7" customHeight="1" x14ac:dyDescent="0.3">
      <c r="A63" t="s">
        <v>254</v>
      </c>
    </row>
    <row r="65" spans="1:1" s="60" customFormat="1" x14ac:dyDescent="0.3">
      <c r="A65" s="60" t="s">
        <v>253</v>
      </c>
    </row>
    <row r="66" spans="1:1" x14ac:dyDescent="0.3">
      <c r="A66" t="s">
        <v>225</v>
      </c>
    </row>
    <row r="67" spans="1:1" ht="14.7" customHeight="1" x14ac:dyDescent="0.3">
      <c r="A67" t="s">
        <v>252</v>
      </c>
    </row>
    <row r="68" spans="1:1" ht="14.7" customHeight="1" x14ac:dyDescent="0.3">
      <c r="A68" t="s">
        <v>251</v>
      </c>
    </row>
    <row r="70" spans="1:1" s="60" customFormat="1" x14ac:dyDescent="0.3">
      <c r="A70" s="60" t="s">
        <v>247</v>
      </c>
    </row>
    <row r="71" spans="1:1" x14ac:dyDescent="0.3">
      <c r="A71" t="s">
        <v>225</v>
      </c>
    </row>
    <row r="72" spans="1:1" x14ac:dyDescent="0.3">
      <c r="A72" t="s">
        <v>250</v>
      </c>
    </row>
    <row r="73" spans="1:1" x14ac:dyDescent="0.3">
      <c r="A73" t="s">
        <v>249</v>
      </c>
    </row>
    <row r="74" spans="1:1" x14ac:dyDescent="0.3">
      <c r="A74" t="s">
        <v>248</v>
      </c>
    </row>
    <row r="76" spans="1:1" x14ac:dyDescent="0.3">
      <c r="A76" s="60" t="s">
        <v>316</v>
      </c>
    </row>
    <row r="77" spans="1:1" x14ac:dyDescent="0.3">
      <c r="A77" t="s">
        <v>225</v>
      </c>
    </row>
    <row r="78" spans="1:1" x14ac:dyDescent="0.3">
      <c r="A78" t="s">
        <v>335</v>
      </c>
    </row>
    <row r="79" spans="1:1" x14ac:dyDescent="0.3">
      <c r="A79" t="s">
        <v>314</v>
      </c>
    </row>
    <row r="80" spans="1:1" x14ac:dyDescent="0.3">
      <c r="A80" t="s">
        <v>315</v>
      </c>
    </row>
    <row r="83" spans="1:3" x14ac:dyDescent="0.3">
      <c r="A83" s="60" t="s">
        <v>344</v>
      </c>
    </row>
    <row r="84" spans="1:3" x14ac:dyDescent="0.3">
      <c r="A84" t="s">
        <v>931</v>
      </c>
      <c r="B84" t="s">
        <v>930</v>
      </c>
      <c r="C84" t="s">
        <v>739</v>
      </c>
    </row>
    <row r="85" spans="1:3" x14ac:dyDescent="0.3">
      <c r="A85" t="s">
        <v>345</v>
      </c>
      <c r="B85">
        <f>_xlfn.XLOOKUP(ParamosIšmokėjimoBūdai[[#This Row],[Būdas]],Lentelė5[Naudojami paramos išmokėjimo būdai],Lentelė5[Pasirinkti])</f>
        <v>0</v>
      </c>
      <c r="C85" t="s">
        <v>345</v>
      </c>
    </row>
    <row r="86" spans="1:3" x14ac:dyDescent="0.3">
      <c r="A86" t="s">
        <v>346</v>
      </c>
      <c r="B86" s="80">
        <f>_xlfn.XLOOKUP(ParamosIšmokėjimoBūdai[[#This Row],[Būdas]],Lentelė5[Naudojami paramos išmokėjimo būdai],Lentelė5[Pasirinkti])</f>
        <v>0</v>
      </c>
      <c r="C86" t="s">
        <v>346</v>
      </c>
    </row>
    <row r="87" spans="1:3" x14ac:dyDescent="0.3">
      <c r="A87" t="s">
        <v>336</v>
      </c>
      <c r="B87">
        <f>_xlfn.XLOOKUP(ParamosIšmokėjimoBūdai[[#This Row],[Būdas]],Lentelė5[Naudojami paramos išmokėjimo būdai],Lentelė5[Pasirinkti])</f>
        <v>0</v>
      </c>
      <c r="C87" t="s">
        <v>336</v>
      </c>
    </row>
    <row r="89" spans="1:3" x14ac:dyDescent="0.3">
      <c r="A89" s="60" t="s">
        <v>368</v>
      </c>
    </row>
    <row r="90" spans="1:3" x14ac:dyDescent="0.3">
      <c r="A90" t="s">
        <v>20</v>
      </c>
    </row>
    <row r="91" spans="1:3" x14ac:dyDescent="0.3">
      <c r="A91" s="80" t="s">
        <v>240</v>
      </c>
    </row>
    <row r="92" spans="1:3" x14ac:dyDescent="0.3">
      <c r="A92" t="s">
        <v>369</v>
      </c>
    </row>
    <row r="93" spans="1:3" x14ac:dyDescent="0.3">
      <c r="A93" t="s">
        <v>370</v>
      </c>
    </row>
    <row r="94" spans="1:3" ht="16.2" x14ac:dyDescent="0.3">
      <c r="A94" t="s">
        <v>372</v>
      </c>
    </row>
    <row r="95" spans="1:3" ht="16.2" x14ac:dyDescent="0.3">
      <c r="A95" t="s">
        <v>373</v>
      </c>
    </row>
    <row r="98" spans="1:1" x14ac:dyDescent="0.3">
      <c r="A98" s="60" t="s">
        <v>920</v>
      </c>
    </row>
    <row r="99" spans="1:1" x14ac:dyDescent="0.3">
      <c r="A99" t="s">
        <v>921</v>
      </c>
    </row>
    <row r="100" spans="1:1" x14ac:dyDescent="0.3">
      <c r="A100" t="s">
        <v>922</v>
      </c>
    </row>
    <row r="103" spans="1:1" x14ac:dyDescent="0.3">
      <c r="A103" t="s">
        <v>927</v>
      </c>
    </row>
    <row r="104" spans="1:1" x14ac:dyDescent="0.3">
      <c r="A104" t="s">
        <v>926</v>
      </c>
    </row>
    <row r="105" spans="1:1" x14ac:dyDescent="0.3">
      <c r="A105" t="s">
        <v>928</v>
      </c>
    </row>
  </sheetData>
  <pageMargins left="0.7" right="0.7" top="0.75" bottom="0.75" header="0.3" footer="0.3"/>
  <pageSetup paperSize="9" orientation="portrait" r:id="rId1"/>
  <tableParts count="2">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99541-B641-436B-A3FE-032A06D4FC53}">
  <sheetPr codeName="Sheet2">
    <tabColor theme="1"/>
  </sheetPr>
  <dimension ref="A2:E9"/>
  <sheetViews>
    <sheetView workbookViewId="0">
      <selection activeCell="B18" sqref="B18"/>
    </sheetView>
  </sheetViews>
  <sheetFormatPr defaultRowHeight="14.4" x14ac:dyDescent="0.3"/>
  <cols>
    <col min="1" max="1" width="5.109375" customWidth="1"/>
    <col min="2" max="2" width="51.88671875" customWidth="1"/>
    <col min="3" max="3" width="11.6640625" customWidth="1"/>
    <col min="4" max="4" width="51.88671875" customWidth="1"/>
    <col min="5" max="5" width="11.6640625" customWidth="1"/>
  </cols>
  <sheetData>
    <row r="2" spans="1:5" x14ac:dyDescent="0.3">
      <c r="B2" s="258" t="s">
        <v>740</v>
      </c>
      <c r="C2" s="259" t="s">
        <v>932</v>
      </c>
    </row>
    <row r="4" spans="1:5" x14ac:dyDescent="0.3">
      <c r="B4" t="s">
        <v>741</v>
      </c>
    </row>
    <row r="6" spans="1:5" ht="28.8" x14ac:dyDescent="0.3">
      <c r="A6" s="262" t="s">
        <v>22</v>
      </c>
      <c r="B6" s="262" t="s">
        <v>743</v>
      </c>
      <c r="C6" s="262" t="s">
        <v>744</v>
      </c>
      <c r="D6" s="262" t="s">
        <v>742</v>
      </c>
      <c r="E6" s="262" t="s">
        <v>745</v>
      </c>
    </row>
    <row r="7" spans="1:5" ht="72" x14ac:dyDescent="0.3">
      <c r="A7" s="65">
        <f>ROW()-ROW(Pataisymai[[#Headers],[Eil. Nr.]])</f>
        <v>1</v>
      </c>
      <c r="B7" s="63" t="s">
        <v>783</v>
      </c>
      <c r="C7" s="265">
        <v>45357</v>
      </c>
      <c r="D7" s="63" t="s">
        <v>917</v>
      </c>
      <c r="E7" s="62"/>
    </row>
    <row r="8" spans="1:5" x14ac:dyDescent="0.3">
      <c r="A8" s="65">
        <f>ROW()-ROW(Pataisymai[[#Headers],[Eil. Nr.]])</f>
        <v>2</v>
      </c>
      <c r="B8" s="63" t="s">
        <v>912</v>
      </c>
      <c r="C8" s="265">
        <v>45362</v>
      </c>
      <c r="D8" s="63"/>
      <c r="E8" s="62"/>
    </row>
    <row r="9" spans="1:5" ht="28.8" x14ac:dyDescent="0.3">
      <c r="A9" s="65">
        <f>ROW()-ROW(Pataisymai[[#Headers],[Eil. Nr.]])</f>
        <v>3</v>
      </c>
      <c r="B9" s="63" t="s">
        <v>934</v>
      </c>
      <c r="C9" s="265">
        <v>45364</v>
      </c>
      <c r="D9" s="63" t="s">
        <v>933</v>
      </c>
      <c r="E9" s="265">
        <v>45385</v>
      </c>
    </row>
  </sheetData>
  <pageMargins left="0.7" right="0.7" top="0.75" bottom="0.75" header="0.3" footer="0.3"/>
  <pageSetup paperSize="9" orientation="landscape" horizontalDpi="1200" verticalDpi="12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378C2-9BCF-4386-B0ED-E769A9C72689}">
  <sheetPr codeName="Lapas2">
    <tabColor theme="0"/>
  </sheetPr>
  <dimension ref="B1:E32"/>
  <sheetViews>
    <sheetView zoomScale="85" zoomScaleNormal="120" workbookViewId="0">
      <selection activeCell="B3" sqref="B3:C3"/>
    </sheetView>
  </sheetViews>
  <sheetFormatPr defaultRowHeight="14.4" x14ac:dyDescent="0.3"/>
  <cols>
    <col min="1" max="1" width="4.109375" customWidth="1"/>
    <col min="2" max="2" width="32.88671875" customWidth="1"/>
    <col min="3" max="3" width="44.109375" customWidth="1"/>
    <col min="4" max="4" width="4.109375" customWidth="1"/>
  </cols>
  <sheetData>
    <row r="1" spans="2:5" x14ac:dyDescent="0.3">
      <c r="B1" t="s">
        <v>985</v>
      </c>
    </row>
    <row r="2" spans="2:5" x14ac:dyDescent="0.3">
      <c r="B2" s="258"/>
      <c r="C2" s="260"/>
    </row>
    <row r="3" spans="2:5" ht="50.25" customHeight="1" x14ac:dyDescent="0.3">
      <c r="B3" s="413" t="s">
        <v>936</v>
      </c>
      <c r="C3" s="414"/>
    </row>
    <row r="4" spans="2:5" x14ac:dyDescent="0.3">
      <c r="B4" s="60" t="s">
        <v>298</v>
      </c>
    </row>
    <row r="5" spans="2:5" x14ac:dyDescent="0.3">
      <c r="B5" s="60"/>
    </row>
    <row r="6" spans="2:5" ht="57.6" x14ac:dyDescent="0.3">
      <c r="B6" s="71" t="s">
        <v>678</v>
      </c>
      <c r="C6" s="393" t="s">
        <v>986</v>
      </c>
    </row>
    <row r="7" spans="2:5" x14ac:dyDescent="0.3">
      <c r="C7" s="394"/>
    </row>
    <row r="8" spans="2:5" x14ac:dyDescent="0.3">
      <c r="C8" s="395"/>
    </row>
    <row r="9" spans="2:5" x14ac:dyDescent="0.3">
      <c r="B9" s="272" t="s">
        <v>935</v>
      </c>
      <c r="C9" s="396" t="s">
        <v>921</v>
      </c>
    </row>
    <row r="10" spans="2:5" x14ac:dyDescent="0.3">
      <c r="C10" s="394"/>
    </row>
    <row r="11" spans="2:5" x14ac:dyDescent="0.3">
      <c r="C11" s="394"/>
    </row>
    <row r="12" spans="2:5" x14ac:dyDescent="0.3">
      <c r="B12" s="71" t="s">
        <v>422</v>
      </c>
      <c r="C12" s="341">
        <v>46296</v>
      </c>
    </row>
    <row r="13" spans="2:5" x14ac:dyDescent="0.3">
      <c r="B13" s="71" t="s">
        <v>236</v>
      </c>
      <c r="C13" s="341">
        <v>46326</v>
      </c>
    </row>
    <row r="14" spans="2:5" ht="28.8" x14ac:dyDescent="0.3">
      <c r="B14" s="71" t="s">
        <v>295</v>
      </c>
      <c r="C14" s="397">
        <v>36</v>
      </c>
    </row>
    <row r="15" spans="2:5" ht="28.8" x14ac:dyDescent="0.3">
      <c r="B15" s="71" t="s">
        <v>299</v>
      </c>
      <c r="C15" s="397">
        <v>3</v>
      </c>
    </row>
    <row r="16" spans="2:5" x14ac:dyDescent="0.3">
      <c r="B16" s="189" t="s">
        <v>302</v>
      </c>
      <c r="C16" s="398"/>
      <c r="E16" s="62" t="s">
        <v>355</v>
      </c>
    </row>
    <row r="17" spans="2:3" x14ac:dyDescent="0.3">
      <c r="B17" s="71" t="s">
        <v>414</v>
      </c>
      <c r="C17" s="397">
        <v>3</v>
      </c>
    </row>
    <row r="18" spans="2:3" x14ac:dyDescent="0.3">
      <c r="B18" s="190"/>
      <c r="C18" s="188"/>
    </row>
    <row r="19" spans="2:3" x14ac:dyDescent="0.3">
      <c r="B19" s="190"/>
      <c r="C19" s="188"/>
    </row>
    <row r="20" spans="2:3" x14ac:dyDescent="0.3">
      <c r="B20" s="191" t="s">
        <v>297</v>
      </c>
      <c r="C20" s="74" t="s">
        <v>242</v>
      </c>
    </row>
    <row r="21" spans="2:3" x14ac:dyDescent="0.3">
      <c r="B21" s="71" t="s">
        <v>219</v>
      </c>
      <c r="C21" s="400">
        <v>1.25</v>
      </c>
    </row>
    <row r="22" spans="2:3" x14ac:dyDescent="0.3">
      <c r="B22" s="71" t="s">
        <v>220</v>
      </c>
      <c r="C22" s="400">
        <v>0.65</v>
      </c>
    </row>
    <row r="23" spans="2:3" x14ac:dyDescent="0.3">
      <c r="B23" s="71" t="s">
        <v>221</v>
      </c>
      <c r="C23" s="401">
        <v>0</v>
      </c>
    </row>
    <row r="24" spans="2:3" x14ac:dyDescent="0.3">
      <c r="B24" s="71" t="s">
        <v>237</v>
      </c>
      <c r="C24" s="400">
        <v>1</v>
      </c>
    </row>
    <row r="25" spans="2:3" x14ac:dyDescent="0.3">
      <c r="B25" s="190"/>
      <c r="C25" s="188"/>
    </row>
    <row r="26" spans="2:3" x14ac:dyDescent="0.3">
      <c r="B26" s="190"/>
      <c r="C26" s="188"/>
    </row>
    <row r="27" spans="2:3" ht="28.8" x14ac:dyDescent="0.3">
      <c r="B27" s="71" t="s">
        <v>348</v>
      </c>
      <c r="C27" s="399">
        <v>0.4</v>
      </c>
    </row>
    <row r="29" spans="2:3" x14ac:dyDescent="0.3">
      <c r="B29" s="409" t="s">
        <v>925</v>
      </c>
      <c r="C29" s="406" t="s">
        <v>929</v>
      </c>
    </row>
    <row r="30" spans="2:3" x14ac:dyDescent="0.3">
      <c r="B30" s="410" t="s">
        <v>345</v>
      </c>
      <c r="C30" s="407"/>
    </row>
    <row r="31" spans="2:3" x14ac:dyDescent="0.3">
      <c r="B31" s="410" t="s">
        <v>346</v>
      </c>
      <c r="C31" s="407"/>
    </row>
    <row r="32" spans="2:3" x14ac:dyDescent="0.3">
      <c r="B32" s="411" t="s">
        <v>336</v>
      </c>
      <c r="C32" s="408"/>
    </row>
  </sheetData>
  <sheetProtection algorithmName="SHA-512" hashValue="SwG+G6FpscTYkllyY4/FTk/SPVYww/LhL/RQV95GESkMyxcJdyYo+Uoc/bmPfjzO+HyEAllks8A3rXa+SvYSuw==" saltValue="nGuB4fwrPMDVaie2golnRA==" spinCount="100000" sheet="1" objects="1" scenarios="1"/>
  <protectedRanges>
    <protectedRange algorithmName="SHA-512" hashValue="6zazh4x0+lJknpkZAQoMV4Vmw30/aut1XD9hpMBhwfviLZ0bXzfXbzDv50+N1HY6dbRbpjMGXXywr89FC3m3wA==" saltValue="NWxKq3e2j67/diqnnIG+ww==" spinCount="100000" sqref="B1:C3" name="Range1"/>
    <protectedRange algorithmName="SHA-512" hashValue="hxhHOsdwGd7sUJ1WwgPJOdDj6e2eVp4GTlRIGWZNIsOTRJJ+rpZI7ryMHclYcTcS1Oo1UJlkpCfQaRxvm3rQXA==" saltValue="Z4XJc77Q/paesxk/WrFr5Q==" spinCount="100000" sqref="B6:C6" name="Range2"/>
    <protectedRange algorithmName="SHA-512" hashValue="r8/XH2TOSRSTYKz33Szo4BNS/9ktsWG5eNPDMgrfyWv/OZnaVkn66tsJ9gwIwzgMISyikvOUTFJC5ALVZP8qpg==" saltValue="tPaaImF8zstP3ASjXWCJrw==" spinCount="100000" sqref="B9:C9" name="Range3"/>
    <protectedRange algorithmName="SHA-512" hashValue="oj9zpbT/lDk69p6ClhMWY7LHpHPmaKoUI/XthSVACkReYwvn8TDkux+zEn9Gh76uOTPYLmsMNuUyrkrD5QFWfA==" saltValue="QP1VB91tyqXJ9n4K1KlHYw==" spinCount="100000" sqref="B12:C17" name="Range4"/>
    <protectedRange algorithmName="SHA-512" hashValue="fezv0tCwNZGVS4Cj6yR3QbvgMs9V4r4bUrszqOiScGc55OdxbDt4Gw702RKhPIMPH6+yVLxZs3JbEZAv9MkQPg==" saltValue="8yzAH72znrMwml4P2JUmZg==" spinCount="100000" sqref="B20:C24" name="Range5"/>
    <protectedRange algorithmName="SHA-512" hashValue="/7KVa+CpwC0h2DPnLe1s0gIS3zegcsV8A53sCZPsDcPTRM2YmpyGzXm99FEVuTyShtWcdC+J06wKQ3+1eDEUvw==" saltValue="iS1ZosMLPXehTFIOJ8iJsA==" spinCount="100000" sqref="B27:C27" name="Range6"/>
    <protectedRange algorithmName="SHA-512" hashValue="ObELWfuJ07WPQHA9qdYaAUlQy2l21BP18EpFH8BYtMuyk82tdYXpwiga8ChaAiHcnP1cWl0R0jptTkgdejeprA==" saltValue="S2N69xcDQaiF0OknqRNdUw==" spinCount="100000" sqref="B29:C29" name="Range7"/>
  </protectedRanges>
  <mergeCells count="1">
    <mergeCell ref="B3:C3"/>
  </mergeCells>
  <dataValidations count="1">
    <dataValidation type="list" allowBlank="1" showInputMessage="1" showErrorMessage="1" sqref="C30:C32" xr:uid="{E15458E8-9B84-4C94-9A0B-E893A7B28811}">
      <formula1>Meniu_TaipNe</formula1>
    </dataValidation>
  </dataValidations>
  <pageMargins left="0.70866141732283472" right="0.70866141732283472" top="0.74803149606299213" bottom="0.74803149606299213" header="0.31496062992125984" footer="0.31496062992125984"/>
  <pageSetup paperSize="9" orientation="portrait"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7E29C4D-15EF-428B-B77D-72FEAA15370A}">
          <x14:formula1>
            <xm:f>Konstantos!$A$99:$A$100</xm:f>
          </x14:formula1>
          <xm:sqref>C9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apas3">
    <tabColor theme="9"/>
  </sheetPr>
  <dimension ref="B2:D17"/>
  <sheetViews>
    <sheetView zoomScale="79" zoomScaleNormal="180" workbookViewId="0">
      <selection activeCell="D6" sqref="D6"/>
    </sheetView>
  </sheetViews>
  <sheetFormatPr defaultColWidth="8.6640625" defaultRowHeight="13.8" x14ac:dyDescent="0.3"/>
  <cols>
    <col min="1" max="1" width="2.33203125" style="235" customWidth="1"/>
    <col min="2" max="2" width="4.88671875" style="235" hidden="1" customWidth="1"/>
    <col min="3" max="3" width="7.88671875" style="235" customWidth="1"/>
    <col min="4" max="4" width="64.33203125" style="235" customWidth="1"/>
    <col min="5" max="5" width="2.44140625" style="235" customWidth="1"/>
    <col min="6" max="16384" width="8.6640625" style="235"/>
  </cols>
  <sheetData>
    <row r="2" spans="2:4" ht="14.4" x14ac:dyDescent="0.3">
      <c r="B2" s="415" t="s">
        <v>5</v>
      </c>
      <c r="C2" s="415"/>
      <c r="D2" s="415"/>
    </row>
    <row r="4" spans="2:4" s="236" customFormat="1" ht="26.25" customHeight="1" x14ac:dyDescent="0.3">
      <c r="B4" s="237" t="s">
        <v>22</v>
      </c>
      <c r="C4" s="237" t="s">
        <v>673</v>
      </c>
      <c r="D4" s="237" t="s">
        <v>366</v>
      </c>
    </row>
    <row r="5" spans="2:4" s="236" customFormat="1" ht="14.4" x14ac:dyDescent="0.3">
      <c r="B5" s="238">
        <f>ROW()-ROW(Turinys[[#Headers],[Eil. Nr.]])</f>
        <v>1</v>
      </c>
      <c r="C5" s="238"/>
      <c r="D5" s="239" t="s">
        <v>293</v>
      </c>
    </row>
    <row r="6" spans="2:4" s="236" customFormat="1" ht="14.4" x14ac:dyDescent="0.3">
      <c r="B6" s="238">
        <f>ROW()-ROW(Turinys[[#Headers],[Eil. Nr.]])</f>
        <v>2</v>
      </c>
      <c r="C6" s="238" t="s">
        <v>0</v>
      </c>
      <c r="D6" s="239" t="s">
        <v>730</v>
      </c>
    </row>
    <row r="7" spans="2:4" s="236" customFormat="1" ht="14.4" x14ac:dyDescent="0.3">
      <c r="B7" s="238">
        <f>ROW()-ROW(Turinys[[#Headers],[Eil. Nr.]])</f>
        <v>3</v>
      </c>
      <c r="C7" s="238" t="s">
        <v>7</v>
      </c>
      <c r="D7" s="239" t="s">
        <v>731</v>
      </c>
    </row>
    <row r="8" spans="2:4" s="236" customFormat="1" ht="28.8" x14ac:dyDescent="0.3">
      <c r="B8" s="238">
        <f>ROW()-ROW(Turinys[[#Headers],[Eil. Nr.]])</f>
        <v>4</v>
      </c>
      <c r="C8" s="238" t="s">
        <v>8</v>
      </c>
      <c r="D8" s="239" t="s">
        <v>732</v>
      </c>
    </row>
    <row r="9" spans="2:4" s="236" customFormat="1" ht="14.4" x14ac:dyDescent="0.3">
      <c r="B9" s="238">
        <f>ROW()-ROW(Turinys[[#Headers],[Eil. Nr.]])</f>
        <v>5</v>
      </c>
      <c r="C9" s="238" t="s">
        <v>101</v>
      </c>
      <c r="D9" s="239" t="s">
        <v>733</v>
      </c>
    </row>
    <row r="10" spans="2:4" s="236" customFormat="1" ht="14.4" x14ac:dyDescent="0.3">
      <c r="B10" s="238">
        <f>ROW()-ROW(Turinys[[#Headers],[Eil. Nr.]])</f>
        <v>6</v>
      </c>
      <c r="C10" s="238" t="s">
        <v>9</v>
      </c>
      <c r="D10" s="239" t="s">
        <v>734</v>
      </c>
    </row>
    <row r="11" spans="2:4" s="236" customFormat="1" ht="14.4" x14ac:dyDescent="0.3">
      <c r="B11" s="238">
        <f>ROW()-ROW(Turinys[[#Headers],[Eil. Nr.]])</f>
        <v>7</v>
      </c>
      <c r="C11" s="238" t="s">
        <v>21</v>
      </c>
      <c r="D11" s="239" t="s">
        <v>735</v>
      </c>
    </row>
    <row r="12" spans="2:4" s="236" customFormat="1" ht="14.4" x14ac:dyDescent="0.3">
      <c r="B12" s="238">
        <f>ROW()-ROW(Turinys[[#Headers],[Eil. Nr.]])</f>
        <v>8</v>
      </c>
      <c r="C12" s="238" t="s">
        <v>34</v>
      </c>
      <c r="D12" s="239" t="s">
        <v>736</v>
      </c>
    </row>
    <row r="13" spans="2:4" s="236" customFormat="1" ht="14.4" x14ac:dyDescent="0.3">
      <c r="B13" s="238">
        <f>ROW()-ROW(Turinys[[#Headers],[Eil. Nr.]])</f>
        <v>9</v>
      </c>
      <c r="C13" s="238" t="s">
        <v>36</v>
      </c>
      <c r="D13" s="239" t="s">
        <v>737</v>
      </c>
    </row>
    <row r="14" spans="2:4" s="236" customFormat="1" ht="14.4" x14ac:dyDescent="0.3">
      <c r="B14" s="238">
        <f>ROW()-ROW(Turinys[[#Headers],[Eil. Nr.]])</f>
        <v>10</v>
      </c>
      <c r="C14" s="238" t="s">
        <v>674</v>
      </c>
      <c r="D14" s="239" t="s">
        <v>91</v>
      </c>
    </row>
    <row r="15" spans="2:4" s="236" customFormat="1" ht="14.4" x14ac:dyDescent="0.3">
      <c r="B15" s="238">
        <f>ROW()-ROW(Turinys[[#Headers],[Eil. Nr.]])</f>
        <v>11</v>
      </c>
      <c r="C15" s="238" t="s">
        <v>675</v>
      </c>
      <c r="D15" s="239" t="s">
        <v>148</v>
      </c>
    </row>
    <row r="16" spans="2:4" s="236" customFormat="1" ht="14.4" x14ac:dyDescent="0.3">
      <c r="B16" s="238">
        <f>ROW()-ROW(Turinys[[#Headers],[Eil. Nr.]])</f>
        <v>12</v>
      </c>
      <c r="C16" s="238" t="s">
        <v>676</v>
      </c>
      <c r="D16" s="239" t="s">
        <v>160</v>
      </c>
    </row>
    <row r="17" spans="2:4" s="236" customFormat="1" ht="14.4" x14ac:dyDescent="0.3">
      <c r="B17" s="238">
        <f>ROW()-ROW(Turinys[[#Headers],[Eil. Nr.]])</f>
        <v>13</v>
      </c>
      <c r="C17" s="238" t="s">
        <v>157</v>
      </c>
      <c r="D17" s="239" t="s">
        <v>738</v>
      </c>
    </row>
  </sheetData>
  <sheetProtection algorithmName="SHA-512" hashValue="OMzH6GRtayjQGQFu3GWVa/XQ9NxqhvO0rcD5spkRIEtJMZgIvY4CdCH5WCEqjCp181mvZ0MRMuIWrAWRmvPv6A==" saltValue="88xwmkS4lS7FrXBcbOmu9A==" spinCount="100000" sheet="1" objects="1" scenarios="1"/>
  <mergeCells count="1">
    <mergeCell ref="B2:D2"/>
  </mergeCells>
  <hyperlinks>
    <hyperlink ref="D5" location="Pastabos!A1" display="PASTABOS" xr:uid="{C27485F2-9D46-4D42-B1A6-8D904CAFCB1D}"/>
    <hyperlink ref="D6" location="'1'!A1" display="BENDROJI INFORMACIJA" xr:uid="{4DF1F204-A9B4-454F-A7CE-8585B331CA81}"/>
    <hyperlink ref="D8" location="'2-3'!A5" display="ESAMA SITUACIJA (IŠSKYRUS FINANSINĘ) IR PROGNOZUOJAMAS POKYTIS PO PARAMOS GAVIMO" xr:uid="{2AEDE6D3-B175-4230-822C-1457B2CB2A5A}"/>
    <hyperlink ref="D7" location="'2-3'!A1" display="INFORMACIJA APIE VERSLO IDĖJĄ" xr:uid="{D145206A-C0C4-4862-9759-A6CB9472ADF5}"/>
    <hyperlink ref="D9" location="'4'!A1" display="INFORMACIJA APIE PAJAMAS, PRODUKTŲ IR PASLAUGŲ PARDAVIMUS, GAMYBĄ " xr:uid="{2B44BD62-A909-4504-8105-B87AD6CF14BC}"/>
    <hyperlink ref="D10" location="'5'!A1" display="INFORMACIJA APIE INVESTICIJAS IR JŲ APMOKĖJIMO ŠALTINIUS" xr:uid="{A3EED6AE-AC46-4F52-AF90-E8397648E530}"/>
    <hyperlink ref="D11" location="'6'!A1" display="INFORMACIJA APIE ILGALAIKĮ TURTĄ" xr:uid="{5409807D-383F-4233-B289-E2060B72A5E4}"/>
    <hyperlink ref="D12" location="'7'!A1" display="INFORMACIJA APIE PAREIŠKĖJO VEIKLOS SĄNAUDAS" xr:uid="{799FB1D7-48F4-431D-A946-5BF218387AC4}"/>
    <hyperlink ref="D13" location="'8'!A1" display="INFORMACIJA APIE PASKOLAS IR (ARBA) IŠPERKAMĄJĄ (FINANSINĘ) NUOMĄ (LIZINGĄ), EUR" xr:uid="{D7CD52E3-822D-488A-AD72-A181DE131AC7}"/>
    <hyperlink ref="D14" location="'9.1'!A1" display="FINANSINĖS ATASKAITOS.  Balanso prognozės" xr:uid="{7B44613E-C956-4B88-A853-B8132B642E24}"/>
    <hyperlink ref="D15" location="'9.2'!A1" display="FINANSINĖS ATASKAITOS. Pelno (nuostolių) prognozės" xr:uid="{4DB18A52-C6C6-403B-AF5A-A92806E87191}"/>
    <hyperlink ref="D16" location="'9.3'!A1" display="FINANSINĖS ATASKAITOS. Pinigų srautų prognozės" xr:uid="{6F8FBBD0-5F96-4E9F-9353-44BE0597F5A0}"/>
    <hyperlink ref="D17" location="'10'!A1" display="INFORMACIJA APIE ŪKIO SUBJEKTO EKONOMINIO GYVYBINGUMO RODIKLIUS" xr:uid="{BCCD4FBE-38A2-43CF-B9E4-32EC0E533AA6}"/>
  </hyperlinks>
  <pageMargins left="0.70866141732283472" right="0.70866141732283472" top="0.74803149606299213" bottom="0.74803149606299213" header="0.31496062992125984" footer="0.31496062992125984"/>
  <pageSetup paperSize="9"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FDDF2-3C2E-43B1-A052-F87281E7E7A7}">
  <sheetPr codeName="Lapas4">
    <tabColor rgb="FFC00000"/>
  </sheetPr>
  <dimension ref="A2:D12"/>
  <sheetViews>
    <sheetView zoomScale="91" zoomScaleNormal="150" workbookViewId="0">
      <selection activeCell="B7" sqref="B7"/>
    </sheetView>
  </sheetViews>
  <sheetFormatPr defaultRowHeight="14.4" x14ac:dyDescent="0.3"/>
  <cols>
    <col min="1" max="1" width="3.44140625" customWidth="1"/>
    <col min="2" max="2" width="59.109375" style="377" customWidth="1"/>
    <col min="3" max="3" width="3.44140625" customWidth="1"/>
    <col min="4" max="4" width="9.33203125" hidden="1" customWidth="1"/>
    <col min="5" max="5" width="9.33203125" customWidth="1"/>
  </cols>
  <sheetData>
    <row r="2" spans="1:4" x14ac:dyDescent="0.3">
      <c r="B2" s="369" t="s">
        <v>418</v>
      </c>
    </row>
    <row r="3" spans="1:4" ht="36" x14ac:dyDescent="0.3">
      <c r="B3" s="370" t="s">
        <v>977</v>
      </c>
    </row>
    <row r="4" spans="1:4" ht="48" x14ac:dyDescent="0.3">
      <c r="B4" s="371" t="s">
        <v>978</v>
      </c>
    </row>
    <row r="5" spans="1:4" ht="24" x14ac:dyDescent="0.3">
      <c r="B5" s="372" t="s">
        <v>979</v>
      </c>
    </row>
    <row r="6" spans="1:4" ht="24" x14ac:dyDescent="0.3">
      <c r="B6" s="373" t="s">
        <v>531</v>
      </c>
      <c r="D6" t="s">
        <v>423</v>
      </c>
    </row>
    <row r="7" spans="1:4" ht="24" x14ac:dyDescent="0.3">
      <c r="B7" s="374" t="s">
        <v>980</v>
      </c>
    </row>
    <row r="8" spans="1:4" ht="36" x14ac:dyDescent="0.3">
      <c r="B8" s="375" t="s">
        <v>677</v>
      </c>
      <c r="D8" s="80" t="s">
        <v>419</v>
      </c>
    </row>
    <row r="9" spans="1:4" ht="36" x14ac:dyDescent="0.3">
      <c r="B9" s="376" t="s">
        <v>681</v>
      </c>
      <c r="D9" t="s">
        <v>532</v>
      </c>
    </row>
    <row r="11" spans="1:4" ht="48" x14ac:dyDescent="0.3">
      <c r="A11" s="65"/>
      <c r="B11" s="378" t="s">
        <v>420</v>
      </c>
    </row>
    <row r="12" spans="1:4" ht="36" x14ac:dyDescent="0.3">
      <c r="B12" s="379" t="s">
        <v>421</v>
      </c>
    </row>
  </sheetData>
  <sheetProtection algorithmName="SHA-512" hashValue="Y1aMlquS0dpVSwzjHQLtsr0HpoL5WOupNjG6rcePuAtjOhK9CWIv0ViMgPHHX8tdTgeBuLo55s4drVloVX8z1A==" saltValue="nmbidRhbq+f02NdrkEMl2g==" spinCount="100000" sheet="1" objects="1" scenarios="1"/>
  <conditionalFormatting sqref="B3:B4">
    <cfRule type="expression" dxfId="115" priority="1">
      <formula>ISNUMBER(SEARCH("Klaida", B3))</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05E91-B53C-4F64-85BE-F1E158634263}">
  <sheetPr codeName="Lapas5">
    <tabColor theme="9" tint="-0.249977111117893"/>
    <pageSetUpPr fitToPage="1"/>
  </sheetPr>
  <dimension ref="A1:K35"/>
  <sheetViews>
    <sheetView topLeftCell="A7" zoomScale="80" zoomScaleNormal="80" workbookViewId="0">
      <selection activeCell="E24" sqref="E24"/>
    </sheetView>
  </sheetViews>
  <sheetFormatPr defaultColWidth="8.88671875" defaultRowHeight="14.4" x14ac:dyDescent="0.3"/>
  <cols>
    <col min="1" max="1" width="9.109375" style="63" customWidth="1"/>
    <col min="2" max="2" width="34.6640625" style="63" customWidth="1"/>
    <col min="3" max="3" width="18.88671875" style="63" customWidth="1"/>
    <col min="4" max="5" width="18.33203125" style="63" customWidth="1"/>
    <col min="6" max="6" width="4.109375" style="62" customWidth="1"/>
    <col min="7" max="7" width="53.109375" style="62" customWidth="1"/>
    <col min="8" max="8" width="8.88671875" style="62"/>
    <col min="9" max="9" width="10.109375" style="62" bestFit="1" customWidth="1"/>
    <col min="10" max="10" width="9.44140625" style="62" customWidth="1"/>
    <col min="11" max="16384" width="8.88671875" style="62"/>
  </cols>
  <sheetData>
    <row r="1" spans="1:11" x14ac:dyDescent="0.3">
      <c r="E1" s="261" t="str">
        <f>_xlfn.CONCAT("Versija: ",Forma!$C$2,TEXT(Parametrai!$C$2,".000"))</f>
        <v>Versija: L2.000</v>
      </c>
      <c r="G1" s="275" t="s">
        <v>293</v>
      </c>
    </row>
    <row r="2" spans="1:11" ht="25.2" customHeight="1" x14ac:dyDescent="0.3">
      <c r="A2" s="427"/>
      <c r="B2" s="427"/>
      <c r="C2" s="427"/>
      <c r="D2" s="427"/>
      <c r="E2" s="427"/>
      <c r="G2" s="276" t="s">
        <v>351</v>
      </c>
    </row>
    <row r="3" spans="1:11" x14ac:dyDescent="0.3">
      <c r="C3" s="72" t="s">
        <v>294</v>
      </c>
      <c r="D3" s="72"/>
      <c r="G3" s="269"/>
    </row>
    <row r="4" spans="1:11" ht="25.2" customHeight="1" x14ac:dyDescent="0.3">
      <c r="A4" s="430"/>
      <c r="B4" s="430"/>
      <c r="C4" s="430"/>
      <c r="D4" s="430"/>
      <c r="E4" s="430"/>
      <c r="G4" s="269"/>
    </row>
    <row r="5" spans="1:11" x14ac:dyDescent="0.3">
      <c r="C5" s="72" t="s">
        <v>937</v>
      </c>
      <c r="D5" s="72"/>
      <c r="G5" s="269"/>
    </row>
    <row r="6" spans="1:11" ht="10.199999999999999" customHeight="1" x14ac:dyDescent="0.3">
      <c r="C6" s="72"/>
      <c r="D6" s="72"/>
      <c r="G6" s="269"/>
    </row>
    <row r="7" spans="1:11" ht="47.25" customHeight="1" x14ac:dyDescent="0.3">
      <c r="A7" s="432" t="s">
        <v>976</v>
      </c>
      <c r="B7" s="432"/>
      <c r="C7" s="432"/>
      <c r="D7" s="432"/>
      <c r="E7" s="432"/>
      <c r="G7" s="269"/>
    </row>
    <row r="8" spans="1:11" ht="10.199999999999999" customHeight="1" x14ac:dyDescent="0.3">
      <c r="A8" s="58"/>
      <c r="G8" s="269"/>
    </row>
    <row r="9" spans="1:11" ht="68.25" customHeight="1" x14ac:dyDescent="0.3">
      <c r="A9" s="431" t="str">
        <f>Parametrai!C6</f>
        <v>TEIKIAMAS PAGAL MARIJAMPOLĖS VIETOS VEIKLOS GRUPĖS  PRIEMONĖS "NE ŽEMĖS ŪKIO VERSLO KŪRIMAS IR PLĖTRA“ , NR. MARI-LEADER-20-VVG-03</v>
      </c>
      <c r="B9" s="431"/>
      <c r="C9" s="431"/>
      <c r="D9" s="431"/>
      <c r="E9" s="431"/>
      <c r="G9" s="269"/>
    </row>
    <row r="10" spans="1:11" ht="10.199999999999999" customHeight="1" x14ac:dyDescent="0.3">
      <c r="A10" s="59"/>
      <c r="G10" s="269"/>
    </row>
    <row r="11" spans="1:11" s="65" customFormat="1" ht="14.85" customHeight="1" x14ac:dyDescent="0.3">
      <c r="A11" s="59"/>
      <c r="B11" s="63"/>
      <c r="C11" s="295"/>
      <c r="D11" s="63"/>
      <c r="E11" s="63"/>
      <c r="G11" s="89" t="str">
        <f>IF(C11="","Klaida! Įveskite datą.","ok")</f>
        <v>Klaida! Įveskite datą.</v>
      </c>
      <c r="H11" s="62"/>
      <c r="I11" s="62"/>
      <c r="J11" s="62"/>
      <c r="K11" s="62"/>
    </row>
    <row r="12" spans="1:11" s="65" customFormat="1" ht="14.85" customHeight="1" x14ac:dyDescent="0.3">
      <c r="A12" s="63"/>
      <c r="B12" s="63"/>
      <c r="C12" s="69" t="s">
        <v>291</v>
      </c>
      <c r="D12" s="63"/>
      <c r="E12" s="63"/>
      <c r="G12" s="269"/>
      <c r="H12" s="62"/>
      <c r="I12" s="62"/>
      <c r="J12" s="62"/>
      <c r="K12" s="62"/>
    </row>
    <row r="13" spans="1:11" s="65" customFormat="1" ht="15.6" x14ac:dyDescent="0.3">
      <c r="A13" s="59"/>
      <c r="B13" s="63"/>
      <c r="C13" s="296"/>
      <c r="D13" s="63"/>
      <c r="E13" s="63"/>
      <c r="G13" s="269"/>
      <c r="H13" s="62"/>
      <c r="I13" s="62"/>
      <c r="J13" s="62"/>
      <c r="K13" s="62"/>
    </row>
    <row r="14" spans="1:11" ht="15.6" x14ac:dyDescent="0.3">
      <c r="A14" s="59"/>
      <c r="C14" s="70" t="s">
        <v>292</v>
      </c>
      <c r="D14" s="69"/>
      <c r="G14" s="269"/>
    </row>
    <row r="15" spans="1:11" x14ac:dyDescent="0.3">
      <c r="A15" s="126" t="s">
        <v>0</v>
      </c>
      <c r="B15" s="428" t="s">
        <v>222</v>
      </c>
      <c r="C15" s="428"/>
      <c r="D15" s="428"/>
      <c r="E15" s="428"/>
      <c r="G15" s="269"/>
    </row>
    <row r="16" spans="1:11" x14ac:dyDescent="0.3">
      <c r="A16" s="127" t="s">
        <v>1</v>
      </c>
      <c r="B16" s="417" t="s">
        <v>235</v>
      </c>
      <c r="C16" s="417"/>
      <c r="D16" s="417"/>
      <c r="E16" s="417"/>
      <c r="G16" s="269"/>
    </row>
    <row r="17" spans="1:7" ht="19.2" customHeight="1" x14ac:dyDescent="0.3">
      <c r="A17" s="73" t="s">
        <v>2</v>
      </c>
      <c r="B17" s="64" t="s">
        <v>301</v>
      </c>
      <c r="C17" s="297"/>
      <c r="D17" s="418"/>
      <c r="E17" s="419"/>
      <c r="G17" s="89" t="str">
        <f>IF(OR(C17="",C17&lt;'1'!C11),"Klaida: Neįvesta arba neteisingai įvesta data. Projektas gali būti įgyvendinamas tik po paraiškos pateikimo","ok")</f>
        <v>Klaida: Neįvesta arba neteisingai įvesta data. Projektas gali būti įgyvendinamas tik po paraiškos pateikimo</v>
      </c>
    </row>
    <row r="18" spans="1:7" ht="19.2" customHeight="1" x14ac:dyDescent="0.3">
      <c r="A18" s="73" t="s">
        <v>226</v>
      </c>
      <c r="B18" s="64" t="s">
        <v>300</v>
      </c>
      <c r="C18" s="297"/>
      <c r="D18" s="420"/>
      <c r="E18" s="421"/>
      <c r="G18" s="89" t="str">
        <f>IF(C17=0,"Klaida! Įveskite datą.",IF(OR(AND($C$18&gt;Parametrai!$C$16,Parametrai!$C$16&lt;&gt;0),C19&gt;Parametrai!$C$14),"Klaida: Neįvestas arba įvestas per ilgas projekto įgyvendinimo laikotarpis","ok"))</f>
        <v>Klaida! Įveskite datą.</v>
      </c>
    </row>
    <row r="19" spans="1:7" ht="19.2" customHeight="1" thickBot="1" x14ac:dyDescent="0.35">
      <c r="A19" s="75" t="s">
        <v>228</v>
      </c>
      <c r="B19" s="76" t="s">
        <v>296</v>
      </c>
      <c r="C19" s="338" t="str">
        <f>IF(C17=0,"-",IFERROR(IF(DAY(C18) &lt; DAY(C17), 1 + DATEDIF(C17, C18, "M") + (DAY(C18) - DAY(C17) + 1) / DAY(EOMONTH(C17,0)),DATEDIF(C17, C18, "M") + (DAY(C18) - DAY(C17) + 1) / DAY(EOMONTH(C17,0))),"-"))</f>
        <v>-</v>
      </c>
      <c r="D19" s="422"/>
      <c r="E19" s="423"/>
      <c r="G19" s="269" t="str">
        <f>_xlfn.CONCAT("Vėliausia projekto įgyvendinimo pabaigos data: ", TEXT(IF(Parametrai!$C$16&lt;&gt;0, MIN(Parametrai!$C$16, EDATE($C$17, Parametrai!$C$14)-1), EDATE($C$17, Parametrai!$C$14)-1), "yyyy-mm-dd"))</f>
        <v>Vėliausia projekto įgyvendinimo pabaigos data: 1902-12-30</v>
      </c>
    </row>
    <row r="20" spans="1:7" ht="15" thickTop="1" x14ac:dyDescent="0.3">
      <c r="A20" s="126" t="s">
        <v>3</v>
      </c>
      <c r="B20" s="429" t="s">
        <v>223</v>
      </c>
      <c r="C20" s="429"/>
      <c r="D20" s="429"/>
      <c r="E20" s="429"/>
      <c r="G20" s="269"/>
    </row>
    <row r="21" spans="1:7" x14ac:dyDescent="0.3">
      <c r="A21" s="71" t="s">
        <v>231</v>
      </c>
      <c r="B21" s="71" t="s">
        <v>224</v>
      </c>
      <c r="C21" s="424" t="s">
        <v>225</v>
      </c>
      <c r="D21" s="425"/>
      <c r="E21" s="426"/>
      <c r="G21" s="269" t="s">
        <v>746</v>
      </c>
    </row>
    <row r="22" spans="1:7" ht="28.8" x14ac:dyDescent="0.3">
      <c r="A22" s="71" t="s">
        <v>232</v>
      </c>
      <c r="B22" s="71" t="s">
        <v>227</v>
      </c>
      <c r="C22" s="292" t="s">
        <v>286</v>
      </c>
      <c r="D22" s="263" t="str">
        <f>IF(C22="Verslo pradžia","Ūkio subjekto registravimo data","")</f>
        <v>Ūkio subjekto registravimo data</v>
      </c>
      <c r="E22" s="341"/>
      <c r="G22" s="269" t="str">
        <f>IF(LEN(C22)&lt;=2,"Pildoma pasirinkus reikšmę iš sąrašo",IF(AND(C22="Verslo pradžia",E22=""),"Klaida! Įveskite ūkio subjekto registravimo pradžią","ok"))</f>
        <v>Klaida! Įveskite ūkio subjekto registravimo pradžią</v>
      </c>
    </row>
    <row r="23" spans="1:7" ht="14.7" customHeight="1" x14ac:dyDescent="0.3">
      <c r="A23" s="71" t="s">
        <v>4</v>
      </c>
      <c r="B23" s="71" t="s">
        <v>229</v>
      </c>
      <c r="C23" s="416" t="s">
        <v>225</v>
      </c>
      <c r="D23" s="416"/>
      <c r="E23" s="416"/>
      <c r="G23" s="269" t="s">
        <v>939</v>
      </c>
    </row>
    <row r="24" spans="1:7" x14ac:dyDescent="0.3">
      <c r="A24" s="63" t="s">
        <v>359</v>
      </c>
      <c r="B24" s="63" t="s">
        <v>356</v>
      </c>
      <c r="C24" s="339" t="str" cm="1">
        <f t="array" ref="C24">IFERROR(_xlfn.UNIQUE(_xlfn._xlws.FILTER('4'!D:D, ('4'!$B:$B="Veiklos kodas ir pavadinimas pagal EVRK")*('4'!$D:$D&lt;&gt;"")))," –")</f>
        <v xml:space="preserve"> –</v>
      </c>
      <c r="D24" s="340"/>
      <c r="E24" s="340"/>
      <c r="G24" s="277" t="s">
        <v>938</v>
      </c>
    </row>
    <row r="25" spans="1:7" x14ac:dyDescent="0.3">
      <c r="C25" s="269"/>
      <c r="D25" s="270"/>
      <c r="E25" s="270"/>
      <c r="G25" s="269"/>
    </row>
    <row r="26" spans="1:7" x14ac:dyDescent="0.3">
      <c r="C26" s="269"/>
      <c r="D26" s="270"/>
      <c r="E26" s="270"/>
      <c r="G26" s="276"/>
    </row>
    <row r="27" spans="1:7" x14ac:dyDescent="0.3">
      <c r="C27" s="269"/>
      <c r="D27" s="271"/>
      <c r="E27" s="271"/>
      <c r="G27" s="276"/>
    </row>
    <row r="28" spans="1:7" x14ac:dyDescent="0.3">
      <c r="C28" s="269"/>
      <c r="D28" s="270"/>
      <c r="E28" s="270"/>
      <c r="G28" s="276"/>
    </row>
    <row r="29" spans="1:7" x14ac:dyDescent="0.3">
      <c r="C29" s="269"/>
      <c r="D29" s="270"/>
      <c r="E29" s="270"/>
      <c r="G29" s="276"/>
    </row>
    <row r="30" spans="1:7" x14ac:dyDescent="0.3">
      <c r="C30" s="269"/>
      <c r="D30" s="270"/>
      <c r="E30" s="270"/>
      <c r="G30" s="276"/>
    </row>
    <row r="31" spans="1:7" x14ac:dyDescent="0.3">
      <c r="C31" s="269"/>
      <c r="D31" s="270"/>
      <c r="E31" s="270"/>
      <c r="G31" s="276"/>
    </row>
    <row r="32" spans="1:7" x14ac:dyDescent="0.3">
      <c r="C32" s="269"/>
      <c r="D32" s="270"/>
      <c r="E32" s="270"/>
      <c r="G32" s="276"/>
    </row>
    <row r="33" spans="3:7" x14ac:dyDescent="0.3">
      <c r="C33" s="269"/>
      <c r="D33" s="270"/>
      <c r="E33" s="270"/>
      <c r="G33" s="276"/>
    </row>
    <row r="34" spans="3:7" x14ac:dyDescent="0.3">
      <c r="C34" s="62"/>
      <c r="D34" s="62"/>
      <c r="E34" s="62"/>
    </row>
    <row r="35" spans="3:7" x14ac:dyDescent="0.3">
      <c r="C35" s="62"/>
      <c r="D35" s="62"/>
      <c r="E35" s="62"/>
    </row>
  </sheetData>
  <sheetProtection algorithmName="SHA-512" hashValue="6tHDK27C3T6k3IYwSfRsNCOpjKOto6YXxc5U4TRCGWOdKW/LBK7HCR7izX8U9k2ezzeBIq92u/hIQ4E0H8lopQ==" saltValue="mUO+wdnEKw/H+Ud/hRFofA==" spinCount="100000" sheet="1" formatRows="0" autoFilter="0"/>
  <mergeCells count="10">
    <mergeCell ref="C23:E23"/>
    <mergeCell ref="B16:E16"/>
    <mergeCell ref="D17:E19"/>
    <mergeCell ref="C21:E21"/>
    <mergeCell ref="A2:E2"/>
    <mergeCell ref="B15:E15"/>
    <mergeCell ref="B20:E20"/>
    <mergeCell ref="A4:E4"/>
    <mergeCell ref="A9:E9"/>
    <mergeCell ref="A7:E7"/>
  </mergeCells>
  <conditionalFormatting sqref="A24:A35">
    <cfRule type="expression" dxfId="114" priority="5">
      <formula>AND($C24&lt;&gt;0,$C25=0)</formula>
    </cfRule>
    <cfRule type="expression" dxfId="113" priority="6">
      <formula>$C24&lt;&gt;0</formula>
    </cfRule>
  </conditionalFormatting>
  <conditionalFormatting sqref="B24:B35">
    <cfRule type="expression" dxfId="112" priority="8">
      <formula>AND($C24&lt;&gt;0,$C25=0)</formula>
    </cfRule>
  </conditionalFormatting>
  <conditionalFormatting sqref="C24:C33">
    <cfRule type="expression" dxfId="110" priority="1">
      <formula>$C24&lt;&gt;0</formula>
    </cfRule>
  </conditionalFormatting>
  <conditionalFormatting sqref="D22">
    <cfRule type="expression" dxfId="109" priority="2">
      <formula>$C22&lt;&gt;0</formula>
    </cfRule>
    <cfRule type="expression" dxfId="108" priority="105">
      <formula>$C27&lt;&gt;0</formula>
    </cfRule>
  </conditionalFormatting>
  <conditionalFormatting sqref="D24:D33">
    <cfRule type="expression" dxfId="107" priority="9">
      <formula>$C24&lt;&gt;0</formula>
    </cfRule>
  </conditionalFormatting>
  <conditionalFormatting sqref="E22">
    <cfRule type="expression" dxfId="106" priority="107">
      <formula>$C27&lt;&gt;0</formula>
    </cfRule>
  </conditionalFormatting>
  <conditionalFormatting sqref="E24:E33">
    <cfRule type="expression" dxfId="105" priority="11">
      <formula>$C24&lt;&gt;0</formula>
    </cfRule>
  </conditionalFormatting>
  <conditionalFormatting sqref="G2:G33">
    <cfRule type="expression" dxfId="104" priority="14">
      <formula>ISNUMBER(SEARCH("Klaida", G2))</formula>
    </cfRule>
  </conditionalFormatting>
  <dataValidations count="2">
    <dataValidation type="date" operator="greaterThan" allowBlank="1" showInputMessage="1" showErrorMessage="1" error="Įveskite datą formatu yyyy-mm-dd. Ji turi būti didesnė už verslo plano įgyvendinimo pradžios datą." prompt="Datos formatas: _x000a_yyyy-mm-dd" sqref="C18" xr:uid="{00000000-0002-0000-0000-000001000000}">
      <formula1>C17</formula1>
    </dataValidation>
    <dataValidation type="date" operator="greaterThan" allowBlank="1" showInputMessage="1" showErrorMessage="1" error="Įveskite datą formatu yyyy-mm-dd. Ji turi būti didesnė už galutinę paraiškos pateikimo datą." prompt="Datos formatas: _x000a_yyyy-mm-dd" sqref="C17" xr:uid="{00000000-0002-0000-0000-000000000000}">
      <formula1>$C$11</formula1>
    </dataValidation>
  </dataValidations>
  <printOptions horizontalCentered="1"/>
  <pageMargins left="1.1811023622047245" right="0.39370078740157483" top="0.78740157480314965" bottom="0.78740157480314965" header="0.31496062992125984" footer="0.31496062992125984"/>
  <pageSetup paperSize="9" scale="86" fitToHeight="0" orientation="portrait"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46" id="{3C4BBEF7-AE6E-4215-871E-CC5473AF784B}">
            <xm:f>$C$11&gt;Parametrai!$C$13</xm:f>
            <x14:dxf>
              <font>
                <color rgb="FFC00000"/>
              </font>
              <fill>
                <patternFill>
                  <bgColor rgb="FFFFCDCD"/>
                </patternFill>
              </fill>
            </x14:dxf>
          </x14:cfRule>
          <xm:sqref>C11</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9000000}">
          <x14:formula1>
            <xm:f>Konstantos!$A$13:$A$15</xm:f>
          </x14:formula1>
          <xm:sqref>C23:E23</xm:sqref>
        </x14:dataValidation>
        <x14:dataValidation type="list" allowBlank="1" showInputMessage="1" showErrorMessage="1" xr:uid="{00000000-0002-0000-0000-000003000000}">
          <x14:formula1>
            <xm:f>Konstantos!$A$8:$A$10</xm:f>
          </x14:formula1>
          <xm:sqref>C22</xm:sqref>
        </x14:dataValidation>
        <x14:dataValidation type="list" allowBlank="1" showInputMessage="1" showErrorMessage="1" xr:uid="{00000000-0002-0000-0000-000002000000}">
          <x14:formula1>
            <xm:f>Konstantos!$A$2:$A$5</xm:f>
          </x14:formula1>
          <xm:sqref>C21</xm:sqref>
        </x14:dataValidation>
        <x14:dataValidation type="date" allowBlank="1" showInputMessage="1" showErrorMessage="1" error="Data negali būti mažesnė nei paraiškų priėmimo pradžios data ir didesnė už paraiškų priėmimo pabaigos datą" prompt="Datos formatas:_x000a_yyyy-mm-dd" xr:uid="{078DBC7B-AD87-4DCB-A542-710457B97138}">
          <x14:formula1>
            <xm:f>Parametrai!C12</xm:f>
          </x14:formula1>
          <x14:formula2>
            <xm:f>Parametrai!C13</xm:f>
          </x14:formula2>
          <xm:sqref>C11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56DE7-5D07-4DD4-9922-20F6FE779BDA}">
  <sheetPr codeName="Lapas6">
    <tabColor theme="9" tint="-0.249977111117893"/>
    <pageSetUpPr fitToPage="1"/>
  </sheetPr>
  <dimension ref="A1:M29"/>
  <sheetViews>
    <sheetView zoomScale="62" zoomScaleNormal="130" workbookViewId="0">
      <selection activeCell="M1" sqref="M1"/>
    </sheetView>
  </sheetViews>
  <sheetFormatPr defaultColWidth="8.88671875" defaultRowHeight="14.4" x14ac:dyDescent="0.3"/>
  <cols>
    <col min="1" max="1" width="8.109375" style="67" customWidth="1"/>
    <col min="2" max="2" width="28.6640625" style="67" customWidth="1"/>
    <col min="3" max="3" width="10.5546875" style="67" customWidth="1"/>
    <col min="4" max="4" width="9" style="67" customWidth="1"/>
    <col min="5" max="11" width="9" style="66" customWidth="1"/>
    <col min="12" max="12" width="4.44140625" style="66" customWidth="1"/>
    <col min="13" max="13" width="47.5546875" style="66" customWidth="1"/>
    <col min="14" max="16384" width="8.88671875" style="66"/>
  </cols>
  <sheetData>
    <row r="1" spans="1:13" s="62" customFormat="1" ht="14.85" customHeight="1" x14ac:dyDescent="0.3">
      <c r="A1" s="126" t="s">
        <v>7</v>
      </c>
      <c r="B1" s="440" t="s">
        <v>670</v>
      </c>
      <c r="C1" s="441"/>
      <c r="D1" s="441"/>
      <c r="E1" s="441"/>
      <c r="F1" s="441"/>
      <c r="G1" s="441"/>
      <c r="H1" s="441"/>
      <c r="I1" s="441"/>
      <c r="J1" s="441"/>
      <c r="K1" s="442"/>
      <c r="M1" s="275" t="s">
        <v>293</v>
      </c>
    </row>
    <row r="2" spans="1:13" s="62" customFormat="1" ht="144" customHeight="1" x14ac:dyDescent="0.3">
      <c r="A2" s="64" t="s">
        <v>244</v>
      </c>
      <c r="B2" s="64" t="s">
        <v>319</v>
      </c>
      <c r="C2" s="433"/>
      <c r="D2" s="433"/>
      <c r="E2" s="433"/>
      <c r="F2" s="433"/>
      <c r="G2" s="433"/>
      <c r="H2" s="433"/>
      <c r="I2" s="433"/>
      <c r="J2" s="433"/>
      <c r="K2" s="433"/>
      <c r="M2" s="280" t="s">
        <v>940</v>
      </c>
    </row>
    <row r="3" spans="1:13" s="62" customFormat="1" ht="144" customHeight="1" x14ac:dyDescent="0.3">
      <c r="A3" s="64" t="s">
        <v>245</v>
      </c>
      <c r="B3" s="64" t="s">
        <v>233</v>
      </c>
      <c r="C3" s="433"/>
      <c r="D3" s="433"/>
      <c r="E3" s="433"/>
      <c r="F3" s="433"/>
      <c r="G3" s="433"/>
      <c r="H3" s="433"/>
      <c r="I3" s="433"/>
      <c r="J3" s="433"/>
      <c r="K3" s="433"/>
      <c r="M3" s="278" t="s">
        <v>478</v>
      </c>
    </row>
    <row r="4" spans="1:13" s="62" customFormat="1" ht="9.6" customHeight="1" x14ac:dyDescent="0.3">
      <c r="M4" s="66"/>
    </row>
    <row r="5" spans="1:13" ht="30" customHeight="1" x14ac:dyDescent="0.3">
      <c r="A5" s="126" t="s">
        <v>8</v>
      </c>
      <c r="B5" s="434" t="s">
        <v>672</v>
      </c>
      <c r="C5" s="435"/>
      <c r="D5" s="435"/>
      <c r="E5" s="435"/>
      <c r="F5" s="435"/>
      <c r="G5" s="435"/>
      <c r="H5" s="435"/>
      <c r="I5" s="435"/>
      <c r="J5" s="435"/>
      <c r="K5" s="435"/>
    </row>
    <row r="6" spans="1:13" ht="14.85" customHeight="1" x14ac:dyDescent="0.3">
      <c r="A6" s="126" t="s">
        <v>246</v>
      </c>
      <c r="B6" s="429" t="s">
        <v>320</v>
      </c>
      <c r="C6" s="429"/>
      <c r="D6" s="429"/>
      <c r="E6" s="429"/>
      <c r="F6" s="429"/>
      <c r="G6" s="429"/>
      <c r="H6" s="429"/>
      <c r="I6" s="429"/>
      <c r="J6" s="429"/>
      <c r="K6" s="429"/>
    </row>
    <row r="7" spans="1:13" x14ac:dyDescent="0.3">
      <c r="A7" s="126" t="s">
        <v>290</v>
      </c>
      <c r="B7" s="469" t="s">
        <v>309</v>
      </c>
      <c r="C7" s="469"/>
      <c r="D7" s="469"/>
      <c r="E7" s="469"/>
      <c r="F7" s="469"/>
      <c r="G7" s="469"/>
      <c r="H7" s="469"/>
      <c r="I7" s="469"/>
      <c r="J7" s="469"/>
      <c r="K7" s="469"/>
      <c r="M7" s="271"/>
    </row>
    <row r="8" spans="1:13" ht="63" customHeight="1" x14ac:dyDescent="0.3">
      <c r="A8" s="439" t="s">
        <v>304</v>
      </c>
      <c r="B8" s="439"/>
      <c r="C8" s="439"/>
      <c r="D8" s="439"/>
      <c r="E8" s="439"/>
      <c r="F8" s="439"/>
      <c r="G8" s="439"/>
      <c r="H8" s="439"/>
      <c r="I8" s="439"/>
      <c r="J8" s="439"/>
      <c r="K8" s="439"/>
      <c r="M8" s="271"/>
    </row>
    <row r="9" spans="1:13" ht="30.6" customHeight="1" x14ac:dyDescent="0.3">
      <c r="A9" s="460" t="s">
        <v>22</v>
      </c>
      <c r="B9" s="462" t="s">
        <v>44</v>
      </c>
      <c r="C9" s="131" t="str">
        <f>IF(AND('1'!$C$22="Verslo pradžia",YEAR('1'!$E$22)=YEAR('1'!$C$11)),"Pradžios metai","Ataskaitiniai metai")</f>
        <v>Pradžios metai</v>
      </c>
      <c r="D9" s="464" t="s">
        <v>12</v>
      </c>
      <c r="E9" s="465"/>
      <c r="F9" s="465"/>
      <c r="G9" s="465"/>
      <c r="H9" s="465"/>
      <c r="I9" s="465"/>
      <c r="J9" s="465"/>
      <c r="K9" s="466"/>
      <c r="M9" s="271"/>
    </row>
    <row r="10" spans="1:13" ht="15" thickBot="1" x14ac:dyDescent="0.35">
      <c r="A10" s="461"/>
      <c r="B10" s="463"/>
      <c r="C10" s="342">
        <f>IF(C9="Pradžios metai",YEAR('1'!$E$22),IF((YEAR('1'!$C$11)-1)+COUNT(B10:$B10)&gt;YEAR('1'!$C$18)+Parametrai!$C$15,"-",(YEAR('1'!$C$11)-1)+COUNT(B10:$B10)))</f>
        <v>1900</v>
      </c>
      <c r="D10" s="342">
        <f>IF(D9="Pradžios metai",YEAR('1'!$E$22),IF((YEAR('1'!$C$11)-1)+COUNT($B10:C10)&gt;YEAR('1'!$C$18)+Parametrai!$C$15,"-",(YEAR('1'!$C$11)-1)+COUNT($B10:C10)))</f>
        <v>1900</v>
      </c>
      <c r="E10" s="342">
        <f>IF(E9="Pradžios metai",YEAR('1'!$E$22),IF((YEAR('1'!$C$11)-1)+COUNT($B10:D10)&gt;YEAR('1'!$C$18)+Parametrai!$C$15,"-",(YEAR('1'!$C$11)-1)+COUNT($B10:D10)))</f>
        <v>1901</v>
      </c>
      <c r="F10" s="342">
        <f>IF(F9="Pradžios metai",YEAR('1'!$E$22),IF((YEAR('1'!$C$11)-1)+COUNT($B10:E10)&gt;YEAR('1'!$C$18)+Parametrai!$C$15,"-",(YEAR('1'!$C$11)-1)+COUNT($B10:E10)))</f>
        <v>1902</v>
      </c>
      <c r="G10" s="342">
        <f>IF(G9="Pradžios metai",YEAR('1'!$E$22),IF((YEAR('1'!$C$11)-1)+COUNT($B10:F10)&gt;YEAR('1'!$C$18)+Parametrai!$C$15,"-",(YEAR('1'!$C$11)-1)+COUNT($B10:F10)))</f>
        <v>1903</v>
      </c>
      <c r="H10" s="342" t="str">
        <f>IF(H9="Pradžios metai",YEAR('1'!$E$22),IF((YEAR('1'!$C$11)-1)+COUNT($B10:G10)&gt;YEAR('1'!$C$18)+Parametrai!$C$15,"-",(YEAR('1'!$C$11)-1)+COUNT($B10:G10)))</f>
        <v>-</v>
      </c>
      <c r="I10" s="342" t="str">
        <f>IF(I9="Pradžios metai",YEAR('1'!$E$22),IF((YEAR('1'!$C$11)-1)+COUNT($B10:H10)&gt;YEAR('1'!$C$18)+Parametrai!$C$15,"-",(YEAR('1'!$C$11)-1)+COUNT($B10:H10)))</f>
        <v>-</v>
      </c>
      <c r="J10" s="342" t="str">
        <f>IF(J9="Pradžios metai",YEAR('1'!$E$22),IF((YEAR('1'!$C$11)-1)+COUNT($B10:I10)&gt;YEAR('1'!$C$18)+Parametrai!$C$15,"-",(YEAR('1'!$C$11)-1)+COUNT($B10:I10)))</f>
        <v>-</v>
      </c>
      <c r="K10" s="342" t="str">
        <f>IF(K9="Pradžios metai",YEAR('1'!$E$22),IF((YEAR('1'!$C$11)-1)+COUNT($B10:J10)&gt;YEAR('1'!$C$18)+Parametrai!$C$15,"-",(YEAR('1'!$C$11)-1)+COUNT($B10:J10)))</f>
        <v>-</v>
      </c>
      <c r="M10" s="271"/>
    </row>
    <row r="11" spans="1:13" ht="29.4" thickTop="1" x14ac:dyDescent="0.3">
      <c r="A11" s="68" t="s">
        <v>321</v>
      </c>
      <c r="B11" s="68" t="s">
        <v>311</v>
      </c>
      <c r="C11" s="298"/>
      <c r="D11" s="298"/>
      <c r="E11" s="298"/>
      <c r="F11" s="298"/>
      <c r="G11" s="298"/>
      <c r="H11" s="298"/>
      <c r="I11" s="298"/>
      <c r="J11" s="298"/>
      <c r="K11" s="298"/>
      <c r="M11" s="271"/>
    </row>
    <row r="12" spans="1:13" ht="28.8" x14ac:dyDescent="0.3">
      <c r="A12" s="64" t="s">
        <v>324</v>
      </c>
      <c r="B12" s="64" t="s">
        <v>310</v>
      </c>
      <c r="C12" s="343" t="str">
        <f>IFERROR(C13/C11,"-")</f>
        <v>-</v>
      </c>
      <c r="D12" s="299"/>
      <c r="E12" s="299"/>
      <c r="F12" s="299"/>
      <c r="G12" s="299"/>
      <c r="H12" s="299"/>
      <c r="I12" s="299"/>
      <c r="J12" s="299"/>
      <c r="K12" s="299"/>
      <c r="M12" s="271"/>
    </row>
    <row r="13" spans="1:13" ht="28.8" x14ac:dyDescent="0.3">
      <c r="A13" s="64" t="s">
        <v>325</v>
      </c>
      <c r="B13" s="64" t="s">
        <v>312</v>
      </c>
      <c r="C13" s="299"/>
      <c r="D13" s="344">
        <f>D11*D12</f>
        <v>0</v>
      </c>
      <c r="E13" s="344">
        <f t="shared" ref="E13:K13" si="0">E11*E12</f>
        <v>0</v>
      </c>
      <c r="F13" s="344">
        <f t="shared" si="0"/>
        <v>0</v>
      </c>
      <c r="G13" s="344">
        <f t="shared" si="0"/>
        <v>0</v>
      </c>
      <c r="H13" s="344">
        <f t="shared" si="0"/>
        <v>0</v>
      </c>
      <c r="I13" s="344">
        <f t="shared" si="0"/>
        <v>0</v>
      </c>
      <c r="J13" s="344">
        <f t="shared" si="0"/>
        <v>0</v>
      </c>
      <c r="K13" s="344">
        <f t="shared" si="0"/>
        <v>0</v>
      </c>
      <c r="M13" s="271" t="s">
        <v>941</v>
      </c>
    </row>
    <row r="14" spans="1:13" ht="29.4" thickBot="1" x14ac:dyDescent="0.35">
      <c r="A14" s="76" t="s">
        <v>326</v>
      </c>
      <c r="B14" s="76" t="s">
        <v>323</v>
      </c>
      <c r="C14" s="436"/>
      <c r="D14" s="437"/>
      <c r="E14" s="437"/>
      <c r="F14" s="437"/>
      <c r="G14" s="437"/>
      <c r="H14" s="437"/>
      <c r="I14" s="437"/>
      <c r="J14" s="438"/>
      <c r="K14" s="438"/>
      <c r="M14" s="276" t="s">
        <v>322</v>
      </c>
    </row>
    <row r="15" spans="1:13" ht="7.2" customHeight="1" thickTop="1" x14ac:dyDescent="0.3">
      <c r="B15" s="66"/>
      <c r="M15" s="271"/>
    </row>
    <row r="16" spans="1:13" ht="14.85" customHeight="1" x14ac:dyDescent="0.3">
      <c r="A16" s="126" t="s">
        <v>327</v>
      </c>
      <c r="B16" s="469" t="s">
        <v>318</v>
      </c>
      <c r="C16" s="469"/>
      <c r="D16" s="469"/>
      <c r="E16" s="469"/>
      <c r="F16" s="469"/>
      <c r="G16" s="469"/>
      <c r="H16" s="469"/>
      <c r="I16" s="469"/>
      <c r="J16" s="469"/>
      <c r="K16" s="469"/>
      <c r="M16" s="271"/>
    </row>
    <row r="17" spans="1:13" ht="40.950000000000003" customHeight="1" x14ac:dyDescent="0.3">
      <c r="A17" s="457" t="s">
        <v>942</v>
      </c>
      <c r="B17" s="457"/>
      <c r="C17" s="457"/>
      <c r="D17" s="457"/>
      <c r="E17" s="457"/>
      <c r="F17" s="457"/>
      <c r="G17" s="457"/>
      <c r="H17" s="457"/>
      <c r="I17" s="457"/>
      <c r="J17" s="457"/>
      <c r="K17" s="457"/>
      <c r="M17" s="271"/>
    </row>
    <row r="18" spans="1:13" ht="52.2" customHeight="1" thickBot="1" x14ac:dyDescent="0.35">
      <c r="A18" s="128" t="s">
        <v>22</v>
      </c>
      <c r="B18" s="129" t="s">
        <v>308</v>
      </c>
      <c r="C18" s="452" t="s">
        <v>307</v>
      </c>
      <c r="D18" s="452"/>
      <c r="E18" s="452" t="s">
        <v>313</v>
      </c>
      <c r="F18" s="452"/>
      <c r="G18" s="129" t="s">
        <v>317</v>
      </c>
      <c r="H18" s="452" t="s">
        <v>305</v>
      </c>
      <c r="I18" s="452"/>
      <c r="J18" s="458" t="s">
        <v>306</v>
      </c>
      <c r="K18" s="459"/>
      <c r="M18" s="271"/>
    </row>
    <row r="19" spans="1:13" ht="24.6" thickTop="1" x14ac:dyDescent="0.3">
      <c r="A19" s="402" t="s">
        <v>328</v>
      </c>
      <c r="B19" s="300"/>
      <c r="C19" s="455" t="s">
        <v>225</v>
      </c>
      <c r="D19" s="455"/>
      <c r="E19" s="453"/>
      <c r="F19" s="453"/>
      <c r="G19" s="303"/>
      <c r="H19" s="467"/>
      <c r="I19" s="468"/>
      <c r="J19" s="448"/>
      <c r="K19" s="448"/>
      <c r="M19" s="271" t="s">
        <v>943</v>
      </c>
    </row>
    <row r="20" spans="1:13" x14ac:dyDescent="0.3">
      <c r="A20" s="402" t="s">
        <v>329</v>
      </c>
      <c r="B20" s="301"/>
      <c r="C20" s="450" t="s">
        <v>225</v>
      </c>
      <c r="D20" s="450"/>
      <c r="E20" s="454"/>
      <c r="F20" s="454"/>
      <c r="G20" s="304"/>
      <c r="H20" s="443"/>
      <c r="I20" s="444"/>
      <c r="J20" s="449"/>
      <c r="K20" s="449"/>
      <c r="M20" s="271"/>
    </row>
    <row r="21" spans="1:13" x14ac:dyDescent="0.3">
      <c r="A21" s="402" t="s">
        <v>330</v>
      </c>
      <c r="B21" s="301"/>
      <c r="C21" s="450" t="s">
        <v>225</v>
      </c>
      <c r="D21" s="450"/>
      <c r="E21" s="454"/>
      <c r="F21" s="454"/>
      <c r="G21" s="304"/>
      <c r="H21" s="443"/>
      <c r="I21" s="444"/>
      <c r="J21" s="449"/>
      <c r="K21" s="449"/>
      <c r="M21" s="271"/>
    </row>
    <row r="22" spans="1:13" x14ac:dyDescent="0.3">
      <c r="A22" s="402" t="s">
        <v>331</v>
      </c>
      <c r="B22" s="301"/>
      <c r="C22" s="450" t="s">
        <v>225</v>
      </c>
      <c r="D22" s="450"/>
      <c r="E22" s="454"/>
      <c r="F22" s="454"/>
      <c r="G22" s="304"/>
      <c r="H22" s="443"/>
      <c r="I22" s="444"/>
      <c r="J22" s="449"/>
      <c r="K22" s="449"/>
      <c r="M22" s="271"/>
    </row>
    <row r="23" spans="1:13" x14ac:dyDescent="0.3">
      <c r="A23" s="402" t="s">
        <v>332</v>
      </c>
      <c r="B23" s="301"/>
      <c r="C23" s="450" t="s">
        <v>225</v>
      </c>
      <c r="D23" s="450"/>
      <c r="E23" s="454"/>
      <c r="F23" s="454"/>
      <c r="G23" s="304"/>
      <c r="H23" s="443"/>
      <c r="I23" s="444"/>
      <c r="J23" s="449"/>
      <c r="K23" s="449"/>
      <c r="M23" s="271"/>
    </row>
    <row r="24" spans="1:13" x14ac:dyDescent="0.3">
      <c r="A24" s="402" t="s">
        <v>333</v>
      </c>
      <c r="B24" s="301"/>
      <c r="C24" s="450" t="s">
        <v>225</v>
      </c>
      <c r="D24" s="450"/>
      <c r="E24" s="454"/>
      <c r="F24" s="454"/>
      <c r="G24" s="304"/>
      <c r="H24" s="443"/>
      <c r="I24" s="444"/>
      <c r="J24" s="449"/>
      <c r="K24" s="449"/>
      <c r="M24" s="271"/>
    </row>
    <row r="25" spans="1:13" ht="15" thickBot="1" x14ac:dyDescent="0.35">
      <c r="A25" s="403" t="s">
        <v>334</v>
      </c>
      <c r="B25" s="302"/>
      <c r="C25" s="451" t="s">
        <v>225</v>
      </c>
      <c r="D25" s="451"/>
      <c r="E25" s="456"/>
      <c r="F25" s="456"/>
      <c r="G25" s="305"/>
      <c r="H25" s="445"/>
      <c r="I25" s="446"/>
      <c r="J25" s="447"/>
      <c r="K25" s="447"/>
      <c r="M25" s="271"/>
    </row>
    <row r="26" spans="1:13" ht="15" thickTop="1" x14ac:dyDescent="0.3">
      <c r="A26" s="66"/>
      <c r="B26" s="66"/>
      <c r="C26" s="66"/>
      <c r="D26" s="66"/>
    </row>
    <row r="27" spans="1:13" x14ac:dyDescent="0.3">
      <c r="A27" s="126" t="s">
        <v>339</v>
      </c>
      <c r="B27" s="440" t="s">
        <v>303</v>
      </c>
      <c r="C27" s="441"/>
      <c r="D27" s="441"/>
      <c r="E27" s="441"/>
      <c r="F27" s="441"/>
      <c r="G27" s="441"/>
      <c r="H27" s="441"/>
      <c r="I27" s="441"/>
      <c r="J27" s="441"/>
      <c r="K27" s="442"/>
    </row>
    <row r="28" spans="1:13" ht="144" customHeight="1" x14ac:dyDescent="0.3">
      <c r="A28" s="64" t="s">
        <v>340</v>
      </c>
      <c r="B28" s="79" t="s">
        <v>343</v>
      </c>
      <c r="C28" s="433"/>
      <c r="D28" s="433"/>
      <c r="E28" s="433"/>
      <c r="F28" s="433"/>
      <c r="G28" s="433"/>
      <c r="H28" s="433"/>
      <c r="I28" s="433"/>
      <c r="J28" s="433"/>
      <c r="K28" s="433"/>
      <c r="M28" s="278" t="s">
        <v>944</v>
      </c>
    </row>
    <row r="29" spans="1:13" ht="144" customHeight="1" x14ac:dyDescent="0.3">
      <c r="A29" s="64" t="s">
        <v>341</v>
      </c>
      <c r="B29" s="79" t="s">
        <v>342</v>
      </c>
      <c r="C29" s="433"/>
      <c r="D29" s="433"/>
      <c r="E29" s="433"/>
      <c r="F29" s="433"/>
      <c r="G29" s="433"/>
      <c r="H29" s="433"/>
      <c r="I29" s="433"/>
      <c r="J29" s="433"/>
      <c r="K29" s="433"/>
      <c r="M29" s="279" t="s">
        <v>405</v>
      </c>
    </row>
  </sheetData>
  <sheetProtection algorithmName="SHA-512" hashValue="AqUv6FDis2ZBpFm5KywxE8pIagB86Og/S99yMP/9OyIwaAdYlJLRJwavodYeMUa+EB6XLTAELeMP66QXQuZNXA==" saltValue="UDngLtaFlWHjBZBRAZACYg==" spinCount="100000" sheet="1" objects="1" scenarios="1" formatRows="0" insertRows="0"/>
  <mergeCells count="48">
    <mergeCell ref="B1:K1"/>
    <mergeCell ref="A17:K17"/>
    <mergeCell ref="C23:D23"/>
    <mergeCell ref="J18:K18"/>
    <mergeCell ref="A9:A10"/>
    <mergeCell ref="B9:B10"/>
    <mergeCell ref="D9:K9"/>
    <mergeCell ref="H19:I19"/>
    <mergeCell ref="H20:I20"/>
    <mergeCell ref="H21:I21"/>
    <mergeCell ref="H22:I22"/>
    <mergeCell ref="H23:I23"/>
    <mergeCell ref="B16:K16"/>
    <mergeCell ref="B7:K7"/>
    <mergeCell ref="C2:K2"/>
    <mergeCell ref="C3:K3"/>
    <mergeCell ref="C24:D24"/>
    <mergeCell ref="C25:D25"/>
    <mergeCell ref="C18:D18"/>
    <mergeCell ref="H18:I18"/>
    <mergeCell ref="E19:F19"/>
    <mergeCell ref="E20:F20"/>
    <mergeCell ref="E21:F21"/>
    <mergeCell ref="E22:F22"/>
    <mergeCell ref="E23:F23"/>
    <mergeCell ref="C19:D19"/>
    <mergeCell ref="C20:D20"/>
    <mergeCell ref="C21:D21"/>
    <mergeCell ref="C22:D22"/>
    <mergeCell ref="E24:F24"/>
    <mergeCell ref="E25:F25"/>
    <mergeCell ref="E18:F18"/>
    <mergeCell ref="C28:K28"/>
    <mergeCell ref="C29:K29"/>
    <mergeCell ref="B5:K5"/>
    <mergeCell ref="B6:K6"/>
    <mergeCell ref="C14:K14"/>
    <mergeCell ref="A8:K8"/>
    <mergeCell ref="B27:K27"/>
    <mergeCell ref="H24:I24"/>
    <mergeCell ref="H25:I25"/>
    <mergeCell ref="J25:K25"/>
    <mergeCell ref="J19:K19"/>
    <mergeCell ref="J20:K20"/>
    <mergeCell ref="J21:K21"/>
    <mergeCell ref="J22:K22"/>
    <mergeCell ref="J23:K23"/>
    <mergeCell ref="J24:K24"/>
  </mergeCells>
  <phoneticPr fontId="12" type="noConversion"/>
  <conditionalFormatting sqref="C10:K10">
    <cfRule type="expression" dxfId="103" priority="1">
      <formula>C10="-"</formula>
    </cfRule>
  </conditionalFormatting>
  <dataValidations count="1">
    <dataValidation type="date" errorStyle="warning" allowBlank="1" showInputMessage="1" showErrorMessage="1" error="Neteisingai įvesta data. Datos formatas:_x000a_yyyy-mm-dd" prompt="Datos formatas:_x000a_yyyy-mm-dd" sqref="J19:K25" xr:uid="{024CFCE2-1BE7-4B2A-B2BB-EB2F4B0B4B46}">
      <formula1>1</formula1>
      <formula2>72686</formula2>
    </dataValidation>
  </dataValidations>
  <printOptions horizontalCentered="1"/>
  <pageMargins left="0.39370078740157483" right="0.39370078740157483" top="1.1811023622047245" bottom="0.78740157480314965" header="0.31496062992125984" footer="0.31496062992125984"/>
  <pageSetup paperSize="9" fitToHeight="0" orientation="landscape" blackAndWhite="1" r:id="rId1"/>
  <headerFooter>
    <oddFooter>&amp;C&amp;A - &amp;P</oddFooter>
  </headerFooter>
  <extLst>
    <ext xmlns:x14="http://schemas.microsoft.com/office/spreadsheetml/2009/9/main" uri="{78C0D931-6437-407d-A8EE-F0AAD7539E65}">
      <x14:conditionalFormattings>
        <x14:conditionalFormatting xmlns:xm="http://schemas.microsoft.com/office/excel/2006/main">
          <x14:cfRule type="expression" priority="2" id="{74869618-8BCE-4B02-AAE3-FB6D84781411}">
            <xm:f>AND(C10&gt;=YEAR(Parametrai!$C$13),C10&lt;=MIN(YEAR('1'!$C$18),YEAR(EOMONTH(Parametrai!$C$13,Parametrai!$C$14)),IF(Parametrai!$C$16&lt;&gt;0,YEAR(Parametrai!$C$16),YEAR(EOMONTH(Parametrai!$C$13,Parametrai!$C$14)))))</xm:f>
            <x14:dxf>
              <fill>
                <patternFill>
                  <bgColor rgb="FFFFF0D2"/>
                </patternFill>
              </fill>
            </x14:dxf>
          </x14:cfRule>
          <xm:sqref>C10:K10</xm:sqref>
        </x14:conditionalFormatting>
        <x14:conditionalFormatting xmlns:xm="http://schemas.microsoft.com/office/excel/2006/main">
          <x14:cfRule type="expression" priority="6" id="{5ABA0920-BE4E-4118-8AF1-9BD8196FAB2B}">
            <xm:f>$C19=Konstantos!$A$78</xm:f>
            <x14:dxf>
              <numFmt numFmtId="166" formatCode="0;\-0;&quot;-&quot;"/>
              <fill>
                <patternFill>
                  <bgColor theme="1" tint="0.499984740745262"/>
                </patternFill>
              </fill>
            </x14:dxf>
          </x14:cfRule>
          <xm:sqref>H19:K25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17515798-3EBA-4148-B650-9D45161661D5}">
          <x14:formula1>
            <xm:f>Konstantos!$A$77:$A$80</xm:f>
          </x14:formula1>
          <xm:sqref>C19:C25</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apas7">
    <tabColor theme="9" tint="-0.249977111117893"/>
  </sheetPr>
  <dimension ref="A1:U86"/>
  <sheetViews>
    <sheetView zoomScale="98" zoomScaleNormal="98" workbookViewId="0">
      <pane xSplit="3" ySplit="5" topLeftCell="D6" activePane="bottomRight" state="frozen"/>
      <selection pane="topRight" activeCell="D1" sqref="D1"/>
      <selection pane="bottomLeft" activeCell="A6" sqref="A6"/>
      <selection pane="bottomRight" activeCell="D10" sqref="D10:L10"/>
    </sheetView>
  </sheetViews>
  <sheetFormatPr defaultColWidth="8.6640625" defaultRowHeight="14.4" x14ac:dyDescent="0.3"/>
  <cols>
    <col min="1" max="1" width="5.44140625" style="8" customWidth="1"/>
    <col min="2" max="2" width="23.44140625" style="8" customWidth="1"/>
    <col min="3" max="3" width="8.33203125" style="9" customWidth="1"/>
    <col min="4" max="4" width="10.44140625" style="8" customWidth="1"/>
    <col min="5" max="12" width="10" style="8" customWidth="1"/>
    <col min="13" max="13" width="2" style="10" customWidth="1"/>
    <col min="14" max="14" width="50.44140625" style="20" customWidth="1"/>
    <col min="15" max="15" width="7.33203125" style="9" hidden="1" customWidth="1"/>
    <col min="16" max="16" width="7.33203125" style="11" hidden="1" customWidth="1"/>
    <col min="17" max="18" width="7.33203125" style="9" hidden="1" customWidth="1"/>
    <col min="19" max="19" width="7.33203125" hidden="1" customWidth="1"/>
    <col min="20" max="20" width="7.33203125" style="11" hidden="1" customWidth="1"/>
    <col min="21" max="16384" width="8.6640625" style="11"/>
  </cols>
  <sheetData>
    <row r="1" spans="1:20" ht="13.8" x14ac:dyDescent="0.3">
      <c r="N1" s="281" t="s">
        <v>293</v>
      </c>
      <c r="O1" s="82" t="s">
        <v>365</v>
      </c>
      <c r="P1" s="82" t="s">
        <v>366</v>
      </c>
      <c r="Q1" s="82">
        <v>1</v>
      </c>
      <c r="R1" s="82">
        <v>2</v>
      </c>
      <c r="S1" s="96">
        <v>3</v>
      </c>
      <c r="T1" s="94"/>
    </row>
    <row r="2" spans="1:20" s="7" customFormat="1" ht="13.8" x14ac:dyDescent="0.3">
      <c r="A2" s="130" t="s">
        <v>101</v>
      </c>
      <c r="B2" s="470" t="s">
        <v>38</v>
      </c>
      <c r="C2" s="470"/>
      <c r="D2" s="470"/>
      <c r="E2" s="470"/>
      <c r="F2" s="470"/>
      <c r="G2" s="470"/>
      <c r="H2" s="470"/>
      <c r="I2" s="470"/>
      <c r="J2" s="470"/>
      <c r="K2" s="470"/>
      <c r="L2" s="470"/>
      <c r="M2" s="6"/>
      <c r="N2" s="282"/>
      <c r="O2" s="81"/>
      <c r="P2" s="82"/>
      <c r="Q2" s="81"/>
      <c r="R2" s="81"/>
      <c r="S2" s="81"/>
      <c r="T2" s="95"/>
    </row>
    <row r="3" spans="1:20" ht="13.8" x14ac:dyDescent="0.3">
      <c r="N3" s="282"/>
      <c r="O3" s="82"/>
      <c r="P3" s="82"/>
      <c r="Q3" s="81"/>
      <c r="R3" s="82"/>
      <c r="S3" s="96"/>
      <c r="T3" s="94"/>
    </row>
    <row r="4" spans="1:20" ht="22.8" x14ac:dyDescent="0.3">
      <c r="A4" s="471" t="s">
        <v>10</v>
      </c>
      <c r="B4" s="472"/>
      <c r="C4" s="475" t="s">
        <v>11</v>
      </c>
      <c r="D4" s="131" t="str">
        <f>IF(AND('1'!$C$22="Verslo pradžia",YEAR('1'!$E$22)=YEAR('1'!$C$11)),"Pradžios metai","Ataskaitiniai metai")</f>
        <v>Pradžios metai</v>
      </c>
      <c r="E4" s="464" t="s">
        <v>12</v>
      </c>
      <c r="F4" s="465"/>
      <c r="G4" s="465"/>
      <c r="H4" s="465"/>
      <c r="I4" s="465"/>
      <c r="J4" s="465"/>
      <c r="K4" s="465"/>
      <c r="L4" s="465"/>
      <c r="M4" s="12"/>
      <c r="N4" s="282"/>
      <c r="O4" s="82"/>
      <c r="P4" s="82"/>
      <c r="Q4" s="81"/>
      <c r="R4" s="82"/>
      <c r="S4" s="96"/>
      <c r="T4" s="94"/>
    </row>
    <row r="5" spans="1:20" thickBot="1" x14ac:dyDescent="0.35">
      <c r="A5" s="473"/>
      <c r="B5" s="474"/>
      <c r="C5" s="476"/>
      <c r="D5" s="342">
        <f>IF(D4="Pradžios metai",YEAR('1'!$E$22),IF((YEAR('1'!$C$11)-1)+COUNT($C5:C5)&gt;YEAR('1'!$C$18)+Parametrai!$C$15,"-",(YEAR('1'!$C$11)-1)+COUNT($C5:C5)))</f>
        <v>1900</v>
      </c>
      <c r="E5" s="342">
        <f>IF(E4="Pradžios metai",YEAR('1'!$E$22),IF((YEAR('1'!$C$11)-1)+COUNT($C5:D5)&gt;YEAR('1'!$C$18)+Parametrai!$C$15,"-",(YEAR('1'!$C$11)-1)+COUNT($C5:D5)))</f>
        <v>1900</v>
      </c>
      <c r="F5" s="342">
        <f>IF(F4="Pradžios metai",YEAR('1'!$E$22),IF((YEAR('1'!$C$11)-1)+COUNT($C5:E5)&gt;YEAR('1'!$C$18)+Parametrai!$C$15,"-",(YEAR('1'!$C$11)-1)+COUNT($C5:E5)))</f>
        <v>1901</v>
      </c>
      <c r="G5" s="342">
        <f>IF(G4="Pradžios metai",YEAR('1'!$E$22),IF((YEAR('1'!$C$11)-1)+COUNT($C5:F5)&gt;YEAR('1'!$C$18)+Parametrai!$C$15,"-",(YEAR('1'!$C$11)-1)+COUNT($C5:F5)))</f>
        <v>1902</v>
      </c>
      <c r="H5" s="342">
        <f>IF(H4="Pradžios metai",YEAR('1'!$E$22),IF((YEAR('1'!$C$11)-1)+COUNT($C5:G5)&gt;YEAR('1'!$C$18)+Parametrai!$C$15,"-",(YEAR('1'!$C$11)-1)+COUNT($C5:G5)))</f>
        <v>1903</v>
      </c>
      <c r="I5" s="342" t="str">
        <f>IF(I4="Pradžios metai",YEAR('1'!$E$22),IF((YEAR('1'!$C$11)-1)+COUNT($C5:H5)&gt;YEAR('1'!$C$18)+Parametrai!$C$15,"-",(YEAR('1'!$C$11)-1)+COUNT($C5:H5)))</f>
        <v>-</v>
      </c>
      <c r="J5" s="342" t="str">
        <f>IF(J4="Pradžios metai",YEAR('1'!$E$22),IF((YEAR('1'!$C$11)-1)+COUNT($C5:I5)&gt;YEAR('1'!$C$18)+Parametrai!$C$15,"-",(YEAR('1'!$C$11)-1)+COUNT($C5:I5)))</f>
        <v>-</v>
      </c>
      <c r="K5" s="342" t="str">
        <f>IF(K4="Pradžios metai",YEAR('1'!$E$22),IF((YEAR('1'!$C$11)-1)+COUNT($C5:J5)&gt;YEAR('1'!$C$18)+Parametrai!$C$15,"-",(YEAR('1'!$C$11)-1)+COUNT($C5:J5)))</f>
        <v>-</v>
      </c>
      <c r="L5" s="342" t="str">
        <f>IF(L4="Pradžios metai",YEAR('1'!$E$22),IF((YEAR('1'!$C$11)-1)+COUNT($C5:K5)&gt;YEAR('1'!$C$18)+Parametrai!$C$15,"-",(YEAR('1'!$C$11)-1)+COUNT($C5:K5)))</f>
        <v>-</v>
      </c>
      <c r="N5" s="282"/>
      <c r="O5" s="82"/>
      <c r="P5" s="101">
        <v>4</v>
      </c>
      <c r="Q5" s="81"/>
      <c r="R5" s="82"/>
      <c r="S5" s="96"/>
      <c r="T5" s="94"/>
    </row>
    <row r="6" spans="1:20" thickTop="1" x14ac:dyDescent="0.3">
      <c r="A6" s="193" t="str">
        <f>_xlfn.CONCAT($P6, ".", $Q6, IF($R6&lt;&gt;"", _xlfn.CONCAT(".", $R6), ""), ".")</f>
        <v>4.1.</v>
      </c>
      <c r="B6" s="193" t="s">
        <v>14</v>
      </c>
      <c r="C6" s="194" t="s">
        <v>15</v>
      </c>
      <c r="D6" s="195">
        <f>SUM(D7:D9)</f>
        <v>0</v>
      </c>
      <c r="E6" s="195">
        <f t="shared" ref="E6:L6" si="0">SUM(E7:E9)</f>
        <v>0</v>
      </c>
      <c r="F6" s="195">
        <f t="shared" si="0"/>
        <v>0</v>
      </c>
      <c r="G6" s="195">
        <f t="shared" si="0"/>
        <v>0</v>
      </c>
      <c r="H6" s="195">
        <f t="shared" si="0"/>
        <v>0</v>
      </c>
      <c r="I6" s="195">
        <f t="shared" si="0"/>
        <v>0</v>
      </c>
      <c r="J6" s="195">
        <f t="shared" si="0"/>
        <v>0</v>
      </c>
      <c r="K6" s="195">
        <f t="shared" si="0"/>
        <v>0</v>
      </c>
      <c r="L6" s="195">
        <f t="shared" si="0"/>
        <v>0</v>
      </c>
      <c r="N6" s="282"/>
      <c r="O6" s="97">
        <v>1</v>
      </c>
      <c r="P6" s="82">
        <f>+P5</f>
        <v>4</v>
      </c>
      <c r="Q6" s="82">
        <f>COUNTIFS($O$1:$O6,1)</f>
        <v>1</v>
      </c>
      <c r="R6" s="82" t="str">
        <f>IF($O6=$R$1,IF($O6&lt;&gt;$O5, 1, R5+1),"")</f>
        <v/>
      </c>
      <c r="S6" s="82"/>
      <c r="T6" s="94" t="str">
        <f>CONCATENATE($P6, ".", $Q6, IF($R6&lt;&gt;"", CONCATENATE(".", $R6), ""), ".")</f>
        <v>4.1.</v>
      </c>
    </row>
    <row r="7" spans="1:20" ht="13.8" x14ac:dyDescent="0.3">
      <c r="A7" s="133" t="str">
        <f>_xlfn.CONCAT($P7, ".", $Q7, IF($R7&lt;&gt;"", _xlfn.CONCAT(".", $R7), ""), ".")</f>
        <v>4.1.1.</v>
      </c>
      <c r="B7" s="134" t="s">
        <v>352</v>
      </c>
      <c r="C7" s="135" t="s">
        <v>15</v>
      </c>
      <c r="D7" s="176">
        <f t="shared" ref="D7:L7" si="1">SUMIFS(D:D,$B:$B,"Pajamos (gamyba)")</f>
        <v>0</v>
      </c>
      <c r="E7" s="176">
        <f t="shared" si="1"/>
        <v>0</v>
      </c>
      <c r="F7" s="176">
        <f t="shared" si="1"/>
        <v>0</v>
      </c>
      <c r="G7" s="176">
        <f t="shared" si="1"/>
        <v>0</v>
      </c>
      <c r="H7" s="176">
        <f t="shared" si="1"/>
        <v>0</v>
      </c>
      <c r="I7" s="176">
        <f t="shared" si="1"/>
        <v>0</v>
      </c>
      <c r="J7" s="176">
        <f t="shared" si="1"/>
        <v>0</v>
      </c>
      <c r="K7" s="176">
        <f t="shared" si="1"/>
        <v>0</v>
      </c>
      <c r="L7" s="176">
        <f t="shared" si="1"/>
        <v>0</v>
      </c>
      <c r="N7" s="282"/>
      <c r="O7" s="97">
        <v>2</v>
      </c>
      <c r="P7" s="82">
        <f>+P6</f>
        <v>4</v>
      </c>
      <c r="Q7" s="82">
        <f>COUNTIFS($O$1:$O7,1)</f>
        <v>1</v>
      </c>
      <c r="R7" s="82">
        <f t="shared" ref="R7:R16" si="2">IF($O7=$R$1,IF($O7&lt;&gt;$O6, 1, R6+1),"")</f>
        <v>1</v>
      </c>
      <c r="S7" s="82"/>
      <c r="T7" s="94" t="str">
        <f t="shared" ref="T7:T70" si="3">CONCATENATE($P7, ".", $Q7, IF($R7&lt;&gt;"", CONCATENATE(".", $R7), ""), ".")</f>
        <v>4.1.1.</v>
      </c>
    </row>
    <row r="8" spans="1:20" ht="13.8" x14ac:dyDescent="0.3">
      <c r="A8" s="133" t="str">
        <f>_xlfn.CONCAT($P8, ".", $Q8, IF($R8&lt;&gt;"", _xlfn.CONCAT(".", $R8), ""), ".")</f>
        <v>4.1.2.</v>
      </c>
      <c r="B8" s="134" t="s">
        <v>353</v>
      </c>
      <c r="C8" s="135" t="s">
        <v>15</v>
      </c>
      <c r="D8" s="177">
        <f t="shared" ref="D8:L8" si="4">SUMIFS(D:D,$B:$B,"Pajamos (paslaugos)")</f>
        <v>0</v>
      </c>
      <c r="E8" s="177">
        <f t="shared" si="4"/>
        <v>0</v>
      </c>
      <c r="F8" s="177">
        <f t="shared" si="4"/>
        <v>0</v>
      </c>
      <c r="G8" s="177">
        <f t="shared" si="4"/>
        <v>0</v>
      </c>
      <c r="H8" s="177">
        <f t="shared" si="4"/>
        <v>0</v>
      </c>
      <c r="I8" s="177">
        <f t="shared" si="4"/>
        <v>0</v>
      </c>
      <c r="J8" s="177">
        <f t="shared" si="4"/>
        <v>0</v>
      </c>
      <c r="K8" s="177">
        <f t="shared" si="4"/>
        <v>0</v>
      </c>
      <c r="L8" s="177">
        <f t="shared" si="4"/>
        <v>0</v>
      </c>
      <c r="N8" s="282"/>
      <c r="O8" s="97">
        <v>2</v>
      </c>
      <c r="P8" s="82">
        <f t="shared" ref="P8:P16" si="5">+P7</f>
        <v>4</v>
      </c>
      <c r="Q8" s="82">
        <f>COUNTIFS($O$1:$O8,1)</f>
        <v>1</v>
      </c>
      <c r="R8" s="82">
        <f t="shared" si="2"/>
        <v>2</v>
      </c>
      <c r="S8" s="82"/>
      <c r="T8" s="94" t="str">
        <f t="shared" si="3"/>
        <v>4.1.2.</v>
      </c>
    </row>
    <row r="9" spans="1:20" thickBot="1" x14ac:dyDescent="0.35">
      <c r="A9" s="136" t="str">
        <f>_xlfn.CONCAT($P9, ".", $Q9, IF($R9&lt;&gt;"", _xlfn.CONCAT(".", $R9), ""), ".")</f>
        <v>4.1.3.</v>
      </c>
      <c r="B9" s="137" t="s">
        <v>354</v>
      </c>
      <c r="C9" s="138" t="s">
        <v>15</v>
      </c>
      <c r="D9" s="178">
        <f t="shared" ref="D9:L9" si="6">SUMIFS(D:D,$B:$B,"Pajamos (kita veikla)")</f>
        <v>0</v>
      </c>
      <c r="E9" s="178">
        <f t="shared" si="6"/>
        <v>0</v>
      </c>
      <c r="F9" s="178">
        <f t="shared" si="6"/>
        <v>0</v>
      </c>
      <c r="G9" s="178">
        <f t="shared" si="6"/>
        <v>0</v>
      </c>
      <c r="H9" s="178">
        <f t="shared" si="6"/>
        <v>0</v>
      </c>
      <c r="I9" s="178">
        <f t="shared" si="6"/>
        <v>0</v>
      </c>
      <c r="J9" s="178">
        <f t="shared" si="6"/>
        <v>0</v>
      </c>
      <c r="K9" s="178">
        <f t="shared" si="6"/>
        <v>0</v>
      </c>
      <c r="L9" s="178">
        <f t="shared" si="6"/>
        <v>0</v>
      </c>
      <c r="N9" s="282"/>
      <c r="O9" s="97">
        <v>2</v>
      </c>
      <c r="P9" s="82">
        <f t="shared" si="5"/>
        <v>4</v>
      </c>
      <c r="Q9" s="82">
        <f>COUNTIFS($O$1:$O9,1)</f>
        <v>1</v>
      </c>
      <c r="R9" s="82">
        <f t="shared" si="2"/>
        <v>3</v>
      </c>
      <c r="S9" s="82"/>
      <c r="T9" s="94" t="str">
        <f t="shared" si="3"/>
        <v>4.1.3.</v>
      </c>
    </row>
    <row r="10" spans="1:20" thickTop="1" x14ac:dyDescent="0.3">
      <c r="A10" s="54" t="str">
        <f>CONCATENATE($P10, ".", $Q10, IF($R10&lt;&gt;"", CONCATENATE(".", $R10), ""), ".")</f>
        <v>4.2.</v>
      </c>
      <c r="B10" s="192" t="s">
        <v>362</v>
      </c>
      <c r="C10" s="91"/>
      <c r="D10" s="477"/>
      <c r="E10" s="477"/>
      <c r="F10" s="477"/>
      <c r="G10" s="477"/>
      <c r="H10" s="477"/>
      <c r="I10" s="477"/>
      <c r="J10" s="477"/>
      <c r="K10" s="477"/>
      <c r="L10" s="477"/>
      <c r="N10" s="282" t="s">
        <v>945</v>
      </c>
      <c r="O10" s="97">
        <v>1</v>
      </c>
      <c r="P10" s="82">
        <f t="shared" si="5"/>
        <v>4</v>
      </c>
      <c r="Q10" s="82">
        <f>COUNTIFS($O$1:$O10,1)</f>
        <v>2</v>
      </c>
      <c r="R10" s="82" t="str">
        <f t="shared" si="2"/>
        <v/>
      </c>
      <c r="S10" s="82"/>
      <c r="T10" s="94" t="str">
        <f t="shared" si="3"/>
        <v>4.2.</v>
      </c>
    </row>
    <row r="11" spans="1:20" ht="13.8" x14ac:dyDescent="0.3">
      <c r="A11" s="44" t="str">
        <f>CONCATENATE($P11, ".", $Q11, IF($R11&lt;&gt;"", CONCATENATE(".", $R11), ""), ".")</f>
        <v>4.2.1.</v>
      </c>
      <c r="B11" s="99" t="s">
        <v>357</v>
      </c>
      <c r="C11" s="90"/>
      <c r="D11" s="479"/>
      <c r="E11" s="479"/>
      <c r="F11" s="479"/>
      <c r="G11" s="479"/>
      <c r="H11" s="479"/>
      <c r="I11" s="479"/>
      <c r="J11" s="479"/>
      <c r="K11" s="479"/>
      <c r="L11" s="479"/>
      <c r="N11" s="282" t="s">
        <v>946</v>
      </c>
      <c r="O11" s="97">
        <v>2</v>
      </c>
      <c r="P11" s="82">
        <f t="shared" si="5"/>
        <v>4</v>
      </c>
      <c r="Q11" s="82">
        <f>COUNTIFS($O$1:$O11,1)</f>
        <v>2</v>
      </c>
      <c r="R11" s="82">
        <f t="shared" si="2"/>
        <v>1</v>
      </c>
      <c r="S11" s="82"/>
      <c r="T11" s="94" t="str">
        <f t="shared" si="3"/>
        <v>4.2.1.</v>
      </c>
    </row>
    <row r="12" spans="1:20" ht="13.8" x14ac:dyDescent="0.3">
      <c r="A12" s="44" t="str">
        <f t="shared" ref="A12:A75" si="7">CONCATENATE($P12, ".", $Q12, IF($R12&lt;&gt;"", CONCATENATE(".", $R12), ""), ".")</f>
        <v>4.2.2.</v>
      </c>
      <c r="B12" s="22" t="s">
        <v>17</v>
      </c>
      <c r="C12" s="293" t="s">
        <v>20</v>
      </c>
      <c r="D12" s="306"/>
      <c r="E12" s="306"/>
      <c r="F12" s="306"/>
      <c r="G12" s="306"/>
      <c r="H12" s="306"/>
      <c r="I12" s="306"/>
      <c r="J12" s="306"/>
      <c r="K12" s="306"/>
      <c r="L12" s="306"/>
      <c r="N12" s="283" t="s">
        <v>947</v>
      </c>
      <c r="O12" s="97">
        <v>2</v>
      </c>
      <c r="P12" s="82">
        <f t="shared" si="5"/>
        <v>4</v>
      </c>
      <c r="Q12" s="82">
        <f>COUNTIFS($O$1:$O12,1)</f>
        <v>2</v>
      </c>
      <c r="R12" s="82">
        <f t="shared" si="2"/>
        <v>2</v>
      </c>
      <c r="S12" s="82"/>
      <c r="T12" s="94" t="str">
        <f t="shared" si="3"/>
        <v>4.2.2.</v>
      </c>
    </row>
    <row r="13" spans="1:20" ht="13.8" x14ac:dyDescent="0.3">
      <c r="A13" s="44" t="str">
        <f t="shared" si="7"/>
        <v>4.2.3.</v>
      </c>
      <c r="B13" s="22" t="s">
        <v>18</v>
      </c>
      <c r="C13" s="57" t="str">
        <f>+C12</f>
        <v>vnt.</v>
      </c>
      <c r="D13" s="306"/>
      <c r="E13" s="306"/>
      <c r="F13" s="306"/>
      <c r="G13" s="306"/>
      <c r="H13" s="306"/>
      <c r="I13" s="306"/>
      <c r="J13" s="306"/>
      <c r="K13" s="306"/>
      <c r="L13" s="306"/>
      <c r="N13" s="282" t="s">
        <v>948</v>
      </c>
      <c r="O13" s="97">
        <v>2</v>
      </c>
      <c r="P13" s="82">
        <f t="shared" si="5"/>
        <v>4</v>
      </c>
      <c r="Q13" s="82">
        <f>COUNTIFS($O$1:$O13,1)</f>
        <v>2</v>
      </c>
      <c r="R13" s="82">
        <f t="shared" si="2"/>
        <v>3</v>
      </c>
      <c r="S13" s="82"/>
      <c r="T13" s="94" t="str">
        <f t="shared" si="3"/>
        <v>4.2.3.</v>
      </c>
    </row>
    <row r="14" spans="1:20" ht="13.8" x14ac:dyDescent="0.3">
      <c r="A14" s="44" t="str">
        <f t="shared" si="7"/>
        <v>4.2.4.</v>
      </c>
      <c r="B14" s="22" t="s">
        <v>19</v>
      </c>
      <c r="C14" s="14" t="str">
        <f>CONCATENATE("Eur/",C13)</f>
        <v>Eur/vnt.</v>
      </c>
      <c r="D14" s="345" t="str">
        <f>IFERROR(ROUND(D15/D13,2),"-")</f>
        <v>-</v>
      </c>
      <c r="E14" s="307"/>
      <c r="F14" s="307"/>
      <c r="G14" s="307"/>
      <c r="H14" s="307"/>
      <c r="I14" s="307"/>
      <c r="J14" s="307"/>
      <c r="K14" s="307"/>
      <c r="L14" s="307"/>
      <c r="N14" s="282" t="s">
        <v>949</v>
      </c>
      <c r="O14" s="97">
        <v>2</v>
      </c>
      <c r="P14" s="82">
        <f t="shared" si="5"/>
        <v>4</v>
      </c>
      <c r="Q14" s="82">
        <f>COUNTIFS($O$1:$O14,1)</f>
        <v>2</v>
      </c>
      <c r="R14" s="82">
        <f t="shared" si="2"/>
        <v>4</v>
      </c>
      <c r="S14" s="82"/>
      <c r="T14" s="94" t="str">
        <f t="shared" si="3"/>
        <v>4.2.4.</v>
      </c>
    </row>
    <row r="15" spans="1:20" ht="13.8" x14ac:dyDescent="0.3">
      <c r="A15" s="44" t="str">
        <f t="shared" si="7"/>
        <v>4.2.5.</v>
      </c>
      <c r="B15" s="22" t="s">
        <v>358</v>
      </c>
      <c r="C15" s="14" t="s">
        <v>15</v>
      </c>
      <c r="D15" s="306"/>
      <c r="E15" s="346">
        <f t="shared" ref="E15:L15" si="8">ROUND(E13*E14,0)</f>
        <v>0</v>
      </c>
      <c r="F15" s="346">
        <f t="shared" si="8"/>
        <v>0</v>
      </c>
      <c r="G15" s="346">
        <f t="shared" si="8"/>
        <v>0</v>
      </c>
      <c r="H15" s="346">
        <f t="shared" si="8"/>
        <v>0</v>
      </c>
      <c r="I15" s="346">
        <f t="shared" si="8"/>
        <v>0</v>
      </c>
      <c r="J15" s="346">
        <f t="shared" si="8"/>
        <v>0</v>
      </c>
      <c r="K15" s="346">
        <f t="shared" si="8"/>
        <v>0</v>
      </c>
      <c r="L15" s="346">
        <f t="shared" si="8"/>
        <v>0</v>
      </c>
      <c r="N15" s="282"/>
      <c r="O15" s="97">
        <v>2</v>
      </c>
      <c r="P15" s="82">
        <f t="shared" si="5"/>
        <v>4</v>
      </c>
      <c r="Q15" s="82">
        <f>COUNTIFS($O$1:$O15,1)</f>
        <v>2</v>
      </c>
      <c r="R15" s="82">
        <f t="shared" si="2"/>
        <v>5</v>
      </c>
      <c r="S15" s="82"/>
      <c r="T15" s="94" t="str">
        <f t="shared" si="3"/>
        <v>4.2.5.</v>
      </c>
    </row>
    <row r="16" spans="1:20" ht="30" customHeight="1" thickBot="1" x14ac:dyDescent="0.35">
      <c r="A16" s="100" t="str">
        <f t="shared" si="7"/>
        <v>4.2.6.</v>
      </c>
      <c r="B16" s="92" t="s">
        <v>367</v>
      </c>
      <c r="C16" s="93"/>
      <c r="D16" s="478"/>
      <c r="E16" s="478"/>
      <c r="F16" s="478"/>
      <c r="G16" s="478"/>
      <c r="H16" s="478"/>
      <c r="I16" s="478"/>
      <c r="J16" s="478"/>
      <c r="K16" s="478"/>
      <c r="L16" s="478"/>
      <c r="N16" s="282" t="s">
        <v>950</v>
      </c>
      <c r="O16" s="97">
        <v>2</v>
      </c>
      <c r="P16" s="82">
        <f t="shared" si="5"/>
        <v>4</v>
      </c>
      <c r="Q16" s="82">
        <f>COUNTIFS($O$1:$O16,1)</f>
        <v>2</v>
      </c>
      <c r="R16" s="82">
        <f t="shared" si="2"/>
        <v>6</v>
      </c>
      <c r="S16" s="82"/>
      <c r="T16" s="94" t="str">
        <f t="shared" si="3"/>
        <v>4.2.6.</v>
      </c>
    </row>
    <row r="17" spans="1:21" ht="13.8" x14ac:dyDescent="0.3">
      <c r="A17" s="54" t="str">
        <f t="shared" si="7"/>
        <v>4.3.</v>
      </c>
      <c r="B17" s="192" t="s">
        <v>362</v>
      </c>
      <c r="C17" s="91"/>
      <c r="D17" s="482"/>
      <c r="E17" s="480"/>
      <c r="F17" s="480"/>
      <c r="G17" s="480"/>
      <c r="H17" s="480"/>
      <c r="I17" s="480"/>
      <c r="J17" s="480"/>
      <c r="K17" s="480"/>
      <c r="L17" s="480"/>
      <c r="N17" s="282" t="s">
        <v>945</v>
      </c>
      <c r="O17" s="97">
        <v>1</v>
      </c>
      <c r="P17" s="82">
        <f t="shared" ref="P17:P50" si="9">+P16</f>
        <v>4</v>
      </c>
      <c r="Q17" s="82">
        <f>COUNTIFS($O$1:$O17,1)</f>
        <v>3</v>
      </c>
      <c r="R17" s="82" t="str">
        <f t="shared" ref="R17:R48" si="10">IF($O17=$R$1,IF($O17&lt;&gt;$O16, 1, R16+1),"")</f>
        <v/>
      </c>
      <c r="S17" s="82"/>
      <c r="T17" s="94" t="str">
        <f t="shared" si="3"/>
        <v>4.3.</v>
      </c>
    </row>
    <row r="18" spans="1:21" ht="13.8" x14ac:dyDescent="0.3">
      <c r="A18" s="44" t="str">
        <f t="shared" si="7"/>
        <v>4.3.1.</v>
      </c>
      <c r="B18" s="99" t="s">
        <v>357</v>
      </c>
      <c r="C18" s="90"/>
      <c r="D18" s="483"/>
      <c r="E18" s="481"/>
      <c r="F18" s="481"/>
      <c r="G18" s="481"/>
      <c r="H18" s="481"/>
      <c r="I18" s="481"/>
      <c r="J18" s="481"/>
      <c r="K18" s="481"/>
      <c r="L18" s="481"/>
      <c r="N18" s="282" t="s">
        <v>946</v>
      </c>
      <c r="O18" s="97">
        <v>2</v>
      </c>
      <c r="P18" s="82">
        <f t="shared" si="9"/>
        <v>4</v>
      </c>
      <c r="Q18" s="82">
        <f>COUNTIFS($O$1:$O18,1)</f>
        <v>3</v>
      </c>
      <c r="R18" s="82">
        <f t="shared" si="10"/>
        <v>1</v>
      </c>
      <c r="S18" s="82"/>
      <c r="T18" s="94" t="str">
        <f t="shared" si="3"/>
        <v>4.3.1.</v>
      </c>
    </row>
    <row r="19" spans="1:21" ht="13.8" x14ac:dyDescent="0.3">
      <c r="A19" s="44" t="str">
        <f t="shared" si="7"/>
        <v>4.3.2.</v>
      </c>
      <c r="B19" s="13" t="s">
        <v>17</v>
      </c>
      <c r="C19" s="293" t="s">
        <v>20</v>
      </c>
      <c r="D19" s="306"/>
      <c r="E19" s="306"/>
      <c r="F19" s="306"/>
      <c r="G19" s="306"/>
      <c r="H19" s="306"/>
      <c r="I19" s="306"/>
      <c r="J19" s="306"/>
      <c r="K19" s="306"/>
      <c r="L19" s="306"/>
      <c r="N19" s="283" t="s">
        <v>947</v>
      </c>
      <c r="O19" s="97">
        <v>2</v>
      </c>
      <c r="P19" s="82">
        <f t="shared" si="9"/>
        <v>4</v>
      </c>
      <c r="Q19" s="82">
        <f>COUNTIFS($O$1:$O19,1)</f>
        <v>3</v>
      </c>
      <c r="R19" s="82">
        <f t="shared" si="10"/>
        <v>2</v>
      </c>
      <c r="S19" s="82"/>
      <c r="T19" s="94" t="str">
        <f t="shared" si="3"/>
        <v>4.3.2.</v>
      </c>
    </row>
    <row r="20" spans="1:21" ht="13.8" x14ac:dyDescent="0.3">
      <c r="A20" s="44" t="str">
        <f t="shared" si="7"/>
        <v>4.3.3.</v>
      </c>
      <c r="B20" s="13" t="s">
        <v>18</v>
      </c>
      <c r="C20" s="57" t="str">
        <f>+C19</f>
        <v>vnt.</v>
      </c>
      <c r="D20" s="306"/>
      <c r="E20" s="306"/>
      <c r="F20" s="306"/>
      <c r="G20" s="306"/>
      <c r="H20" s="306"/>
      <c r="I20" s="306"/>
      <c r="J20" s="306"/>
      <c r="K20" s="306"/>
      <c r="L20" s="306"/>
      <c r="N20" s="282" t="s">
        <v>948</v>
      </c>
      <c r="O20" s="97">
        <v>2</v>
      </c>
      <c r="P20" s="82">
        <f t="shared" si="9"/>
        <v>4</v>
      </c>
      <c r="Q20" s="82">
        <f>COUNTIFS($O$1:$O20,1)</f>
        <v>3</v>
      </c>
      <c r="R20" s="82">
        <f t="shared" si="10"/>
        <v>3</v>
      </c>
      <c r="S20" s="82"/>
      <c r="T20" s="94" t="str">
        <f t="shared" si="3"/>
        <v>4.3.3.</v>
      </c>
    </row>
    <row r="21" spans="1:21" ht="13.8" x14ac:dyDescent="0.3">
      <c r="A21" s="44" t="str">
        <f t="shared" si="7"/>
        <v>4.3.4.</v>
      </c>
      <c r="B21" s="13" t="s">
        <v>19</v>
      </c>
      <c r="C21" s="14" t="str">
        <f>CONCATENATE("Eur/",C20)</f>
        <v>Eur/vnt.</v>
      </c>
      <c r="D21" s="345" t="str">
        <f>IFERROR(ROUND(D22/D20,2),"-")</f>
        <v>-</v>
      </c>
      <c r="E21" s="307"/>
      <c r="F21" s="307"/>
      <c r="G21" s="307"/>
      <c r="H21" s="307"/>
      <c r="I21" s="307"/>
      <c r="J21" s="307"/>
      <c r="K21" s="307"/>
      <c r="L21" s="307"/>
      <c r="N21" s="282" t="s">
        <v>949</v>
      </c>
      <c r="O21" s="97">
        <v>2</v>
      </c>
      <c r="P21" s="82">
        <f t="shared" si="9"/>
        <v>4</v>
      </c>
      <c r="Q21" s="82">
        <f>COUNTIFS($O$1:$O21,1)</f>
        <v>3</v>
      </c>
      <c r="R21" s="82">
        <f t="shared" si="10"/>
        <v>4</v>
      </c>
      <c r="S21" s="82"/>
      <c r="T21" s="94" t="str">
        <f t="shared" si="3"/>
        <v>4.3.4.</v>
      </c>
    </row>
    <row r="22" spans="1:21" ht="13.8" x14ac:dyDescent="0.3">
      <c r="A22" s="44" t="str">
        <f t="shared" si="7"/>
        <v>4.3.5.</v>
      </c>
      <c r="B22" s="13" t="s">
        <v>358</v>
      </c>
      <c r="C22" s="14" t="s">
        <v>15</v>
      </c>
      <c r="D22" s="306"/>
      <c r="E22" s="346">
        <f>ROUND(E20*E21,0)</f>
        <v>0</v>
      </c>
      <c r="F22" s="346">
        <f t="shared" ref="F22:L22" si="11">ROUND(F20*F21,0)</f>
        <v>0</v>
      </c>
      <c r="G22" s="346">
        <f t="shared" si="11"/>
        <v>0</v>
      </c>
      <c r="H22" s="346">
        <f t="shared" si="11"/>
        <v>0</v>
      </c>
      <c r="I22" s="346">
        <f t="shared" si="11"/>
        <v>0</v>
      </c>
      <c r="J22" s="346">
        <f t="shared" si="11"/>
        <v>0</v>
      </c>
      <c r="K22" s="346">
        <f t="shared" si="11"/>
        <v>0</v>
      </c>
      <c r="L22" s="346">
        <f t="shared" si="11"/>
        <v>0</v>
      </c>
      <c r="N22" s="282"/>
      <c r="O22" s="97">
        <v>2</v>
      </c>
      <c r="P22" s="82">
        <f t="shared" si="9"/>
        <v>4</v>
      </c>
      <c r="Q22" s="82">
        <f>COUNTIFS($O$1:$O22,1)</f>
        <v>3</v>
      </c>
      <c r="R22" s="82">
        <f t="shared" si="10"/>
        <v>5</v>
      </c>
      <c r="S22" s="82"/>
      <c r="T22" s="94" t="str">
        <f t="shared" si="3"/>
        <v>4.3.5.</v>
      </c>
      <c r="U22" s="97"/>
    </row>
    <row r="23" spans="1:21" ht="30" customHeight="1" thickBot="1" x14ac:dyDescent="0.35">
      <c r="A23" s="102" t="str">
        <f t="shared" si="7"/>
        <v>4.3.6.</v>
      </c>
      <c r="B23" s="103" t="s">
        <v>367</v>
      </c>
      <c r="C23" s="104"/>
      <c r="D23" s="486"/>
      <c r="E23" s="486"/>
      <c r="F23" s="486"/>
      <c r="G23" s="486"/>
      <c r="H23" s="486"/>
      <c r="I23" s="486"/>
      <c r="J23" s="486"/>
      <c r="K23" s="486"/>
      <c r="L23" s="486"/>
      <c r="N23" s="282" t="s">
        <v>950</v>
      </c>
      <c r="O23" s="97">
        <v>2</v>
      </c>
      <c r="P23" s="82">
        <f t="shared" si="9"/>
        <v>4</v>
      </c>
      <c r="Q23" s="82">
        <f>COUNTIFS($O$1:$O23,1)</f>
        <v>3</v>
      </c>
      <c r="R23" s="82">
        <f t="shared" si="10"/>
        <v>6</v>
      </c>
      <c r="S23" s="82"/>
      <c r="T23" s="94" t="str">
        <f t="shared" si="3"/>
        <v>4.3.6.</v>
      </c>
      <c r="U23" s="97"/>
    </row>
    <row r="24" spans="1:21" ht="13.8" x14ac:dyDescent="0.3">
      <c r="A24" s="54" t="str">
        <f t="shared" si="7"/>
        <v>4.4.</v>
      </c>
      <c r="B24" s="192" t="s">
        <v>362</v>
      </c>
      <c r="C24" s="91"/>
      <c r="D24" s="482"/>
      <c r="E24" s="480"/>
      <c r="F24" s="480"/>
      <c r="G24" s="480"/>
      <c r="H24" s="480"/>
      <c r="I24" s="480"/>
      <c r="J24" s="480"/>
      <c r="K24" s="480"/>
      <c r="L24" s="480"/>
      <c r="N24" s="282" t="s">
        <v>945</v>
      </c>
      <c r="O24" s="97">
        <v>1</v>
      </c>
      <c r="P24" s="82">
        <f t="shared" si="9"/>
        <v>4</v>
      </c>
      <c r="Q24" s="82">
        <f>COUNTIFS($O$1:$O24,1)</f>
        <v>4</v>
      </c>
      <c r="R24" s="82" t="str">
        <f t="shared" si="10"/>
        <v/>
      </c>
      <c r="S24" s="82"/>
      <c r="T24" s="94" t="str">
        <f t="shared" si="3"/>
        <v>4.4.</v>
      </c>
      <c r="U24" s="97"/>
    </row>
    <row r="25" spans="1:21" ht="13.8" x14ac:dyDescent="0.3">
      <c r="A25" s="44" t="str">
        <f t="shared" si="7"/>
        <v>4.4.1.</v>
      </c>
      <c r="B25" s="99" t="s">
        <v>357</v>
      </c>
      <c r="C25" s="90"/>
      <c r="D25" s="483"/>
      <c r="E25" s="481"/>
      <c r="F25" s="481"/>
      <c r="G25" s="481"/>
      <c r="H25" s="481"/>
      <c r="I25" s="481"/>
      <c r="J25" s="481"/>
      <c r="K25" s="481"/>
      <c r="L25" s="481"/>
      <c r="N25" s="282" t="s">
        <v>946</v>
      </c>
      <c r="O25" s="97">
        <v>2</v>
      </c>
      <c r="P25" s="82">
        <f t="shared" si="9"/>
        <v>4</v>
      </c>
      <c r="Q25" s="82">
        <f>COUNTIFS($O$1:$O25,1)</f>
        <v>4</v>
      </c>
      <c r="R25" s="82">
        <f t="shared" si="10"/>
        <v>1</v>
      </c>
      <c r="S25" s="82"/>
      <c r="T25" s="94" t="str">
        <f t="shared" si="3"/>
        <v>4.4.1.</v>
      </c>
      <c r="U25" s="97"/>
    </row>
    <row r="26" spans="1:21" ht="13.8" x14ac:dyDescent="0.3">
      <c r="A26" s="44" t="str">
        <f t="shared" si="7"/>
        <v>4.4.2.</v>
      </c>
      <c r="B26" s="13" t="s">
        <v>17</v>
      </c>
      <c r="C26" s="293" t="s">
        <v>20</v>
      </c>
      <c r="D26" s="306"/>
      <c r="E26" s="306"/>
      <c r="F26" s="306"/>
      <c r="G26" s="306"/>
      <c r="H26" s="306"/>
      <c r="I26" s="306"/>
      <c r="J26" s="306"/>
      <c r="K26" s="306"/>
      <c r="L26" s="306"/>
      <c r="N26" s="283" t="s">
        <v>947</v>
      </c>
      <c r="O26" s="97">
        <v>2</v>
      </c>
      <c r="P26" s="82">
        <f t="shared" si="9"/>
        <v>4</v>
      </c>
      <c r="Q26" s="82">
        <f>COUNTIFS($O$1:$O26,1)</f>
        <v>4</v>
      </c>
      <c r="R26" s="82">
        <f t="shared" si="10"/>
        <v>2</v>
      </c>
      <c r="S26" s="82"/>
      <c r="T26" s="94" t="str">
        <f t="shared" si="3"/>
        <v>4.4.2.</v>
      </c>
      <c r="U26" s="97"/>
    </row>
    <row r="27" spans="1:21" ht="13.8" x14ac:dyDescent="0.3">
      <c r="A27" s="44" t="str">
        <f t="shared" si="7"/>
        <v>4.4.3.</v>
      </c>
      <c r="B27" s="13" t="s">
        <v>18</v>
      </c>
      <c r="C27" s="57" t="str">
        <f>+C26</f>
        <v>vnt.</v>
      </c>
      <c r="D27" s="306"/>
      <c r="E27" s="306"/>
      <c r="F27" s="306"/>
      <c r="G27" s="306"/>
      <c r="H27" s="306"/>
      <c r="I27" s="306"/>
      <c r="J27" s="306"/>
      <c r="K27" s="306"/>
      <c r="L27" s="306"/>
      <c r="N27" s="282" t="s">
        <v>948</v>
      </c>
      <c r="O27" s="97">
        <v>2</v>
      </c>
      <c r="P27" s="82">
        <f t="shared" si="9"/>
        <v>4</v>
      </c>
      <c r="Q27" s="82">
        <f>COUNTIFS($O$1:$O27,1)</f>
        <v>4</v>
      </c>
      <c r="R27" s="82">
        <f t="shared" si="10"/>
        <v>3</v>
      </c>
      <c r="S27" s="82"/>
      <c r="T27" s="94" t="str">
        <f t="shared" si="3"/>
        <v>4.4.3.</v>
      </c>
      <c r="U27" s="97"/>
    </row>
    <row r="28" spans="1:21" ht="13.8" x14ac:dyDescent="0.3">
      <c r="A28" s="44" t="str">
        <f t="shared" si="7"/>
        <v>4.4.4.</v>
      </c>
      <c r="B28" s="13" t="s">
        <v>19</v>
      </c>
      <c r="C28" s="14" t="str">
        <f>CONCATENATE("Eur/",C27)</f>
        <v>Eur/vnt.</v>
      </c>
      <c r="D28" s="345" t="str">
        <f>IFERROR(ROUND(D29/D27,2),"-")</f>
        <v>-</v>
      </c>
      <c r="E28" s="307"/>
      <c r="F28" s="307"/>
      <c r="G28" s="307"/>
      <c r="H28" s="307"/>
      <c r="I28" s="307"/>
      <c r="J28" s="307"/>
      <c r="K28" s="307"/>
      <c r="L28" s="307"/>
      <c r="N28" s="282" t="s">
        <v>949</v>
      </c>
      <c r="O28" s="97">
        <v>2</v>
      </c>
      <c r="P28" s="82">
        <f t="shared" si="9"/>
        <v>4</v>
      </c>
      <c r="Q28" s="82">
        <f>COUNTIFS($O$1:$O28,1)</f>
        <v>4</v>
      </c>
      <c r="R28" s="82">
        <f t="shared" si="10"/>
        <v>4</v>
      </c>
      <c r="S28" s="82"/>
      <c r="T28" s="94" t="str">
        <f t="shared" si="3"/>
        <v>4.4.4.</v>
      </c>
      <c r="U28" s="97"/>
    </row>
    <row r="29" spans="1:21" ht="13.8" x14ac:dyDescent="0.3">
      <c r="A29" s="44" t="str">
        <f t="shared" si="7"/>
        <v>4.4.5.</v>
      </c>
      <c r="B29" s="13" t="s">
        <v>358</v>
      </c>
      <c r="C29" s="14" t="s">
        <v>15</v>
      </c>
      <c r="D29" s="306"/>
      <c r="E29" s="346">
        <f>ROUND(E27*E28,0)</f>
        <v>0</v>
      </c>
      <c r="F29" s="346">
        <f t="shared" ref="F29:L29" si="12">ROUND(F27*F28,0)</f>
        <v>0</v>
      </c>
      <c r="G29" s="346">
        <f t="shared" si="12"/>
        <v>0</v>
      </c>
      <c r="H29" s="346">
        <f t="shared" si="12"/>
        <v>0</v>
      </c>
      <c r="I29" s="346">
        <f t="shared" si="12"/>
        <v>0</v>
      </c>
      <c r="J29" s="346">
        <f t="shared" si="12"/>
        <v>0</v>
      </c>
      <c r="K29" s="346">
        <f t="shared" si="12"/>
        <v>0</v>
      </c>
      <c r="L29" s="346">
        <f t="shared" si="12"/>
        <v>0</v>
      </c>
      <c r="N29" s="282"/>
      <c r="O29" s="97">
        <v>2</v>
      </c>
      <c r="P29" s="82">
        <f t="shared" si="9"/>
        <v>4</v>
      </c>
      <c r="Q29" s="82">
        <f>COUNTIFS($O$1:$O29,1)</f>
        <v>4</v>
      </c>
      <c r="R29" s="82">
        <f t="shared" si="10"/>
        <v>5</v>
      </c>
      <c r="S29" s="82"/>
      <c r="T29" s="94" t="str">
        <f t="shared" si="3"/>
        <v>4.4.5.</v>
      </c>
      <c r="U29" s="97"/>
    </row>
    <row r="30" spans="1:21" ht="30" customHeight="1" thickBot="1" x14ac:dyDescent="0.35">
      <c r="A30" s="100" t="str">
        <f t="shared" si="7"/>
        <v>4.4.6.</v>
      </c>
      <c r="B30" s="103" t="s">
        <v>367</v>
      </c>
      <c r="C30" s="104"/>
      <c r="D30" s="486"/>
      <c r="E30" s="486"/>
      <c r="F30" s="486"/>
      <c r="G30" s="486"/>
      <c r="H30" s="486"/>
      <c r="I30" s="486"/>
      <c r="J30" s="486"/>
      <c r="K30" s="486"/>
      <c r="L30" s="486"/>
      <c r="N30" s="282" t="s">
        <v>950</v>
      </c>
      <c r="O30" s="97">
        <v>2</v>
      </c>
      <c r="P30" s="82">
        <f t="shared" si="9"/>
        <v>4</v>
      </c>
      <c r="Q30" s="82">
        <f>COUNTIFS($O$1:$O30,1)</f>
        <v>4</v>
      </c>
      <c r="R30" s="82">
        <f t="shared" si="10"/>
        <v>6</v>
      </c>
      <c r="S30" s="82"/>
      <c r="T30" s="94" t="str">
        <f t="shared" si="3"/>
        <v>4.4.6.</v>
      </c>
      <c r="U30" s="97"/>
    </row>
    <row r="31" spans="1:21" ht="13.8" x14ac:dyDescent="0.3">
      <c r="A31" s="54" t="str">
        <f t="shared" si="7"/>
        <v>4.5.</v>
      </c>
      <c r="B31" s="192" t="s">
        <v>362</v>
      </c>
      <c r="C31" s="91"/>
      <c r="D31" s="482"/>
      <c r="E31" s="480"/>
      <c r="F31" s="480"/>
      <c r="G31" s="480"/>
      <c r="H31" s="480"/>
      <c r="I31" s="480"/>
      <c r="J31" s="480"/>
      <c r="K31" s="480"/>
      <c r="L31" s="480"/>
      <c r="N31" s="282" t="s">
        <v>945</v>
      </c>
      <c r="O31" s="97">
        <v>1</v>
      </c>
      <c r="P31" s="82">
        <f t="shared" si="9"/>
        <v>4</v>
      </c>
      <c r="Q31" s="82">
        <f>COUNTIFS($O$1:$O31,1)</f>
        <v>5</v>
      </c>
      <c r="R31" s="82" t="str">
        <f t="shared" si="10"/>
        <v/>
      </c>
      <c r="S31" s="82"/>
      <c r="T31" s="94" t="str">
        <f t="shared" si="3"/>
        <v>4.5.</v>
      </c>
      <c r="U31" s="97"/>
    </row>
    <row r="32" spans="1:21" ht="13.8" x14ac:dyDescent="0.3">
      <c r="A32" s="44" t="str">
        <f t="shared" si="7"/>
        <v>4.5.1.</v>
      </c>
      <c r="B32" s="99" t="s">
        <v>357</v>
      </c>
      <c r="C32" s="90"/>
      <c r="D32" s="483"/>
      <c r="E32" s="481"/>
      <c r="F32" s="481"/>
      <c r="G32" s="481"/>
      <c r="H32" s="481"/>
      <c r="I32" s="481"/>
      <c r="J32" s="481"/>
      <c r="K32" s="481"/>
      <c r="L32" s="481"/>
      <c r="N32" s="282" t="s">
        <v>946</v>
      </c>
      <c r="O32" s="97">
        <v>2</v>
      </c>
      <c r="P32" s="82">
        <f t="shared" si="9"/>
        <v>4</v>
      </c>
      <c r="Q32" s="82">
        <f>COUNTIFS($O$1:$O32,1)</f>
        <v>5</v>
      </c>
      <c r="R32" s="82">
        <f t="shared" si="10"/>
        <v>1</v>
      </c>
      <c r="S32" s="82"/>
      <c r="T32" s="94" t="str">
        <f t="shared" si="3"/>
        <v>4.5.1.</v>
      </c>
      <c r="U32" s="97"/>
    </row>
    <row r="33" spans="1:21" ht="13.8" x14ac:dyDescent="0.3">
      <c r="A33" s="44" t="str">
        <f t="shared" si="7"/>
        <v>4.5.2.</v>
      </c>
      <c r="B33" s="13" t="s">
        <v>17</v>
      </c>
      <c r="C33" s="293" t="s">
        <v>20</v>
      </c>
      <c r="D33" s="306"/>
      <c r="E33" s="306"/>
      <c r="F33" s="306"/>
      <c r="G33" s="306"/>
      <c r="H33" s="306"/>
      <c r="I33" s="306"/>
      <c r="J33" s="306"/>
      <c r="K33" s="306"/>
      <c r="L33" s="306"/>
      <c r="N33" s="283" t="s">
        <v>947</v>
      </c>
      <c r="O33" s="97">
        <v>2</v>
      </c>
      <c r="P33" s="82">
        <f t="shared" si="9"/>
        <v>4</v>
      </c>
      <c r="Q33" s="82">
        <f>COUNTIFS($O$1:$O33,1)</f>
        <v>5</v>
      </c>
      <c r="R33" s="82">
        <f t="shared" si="10"/>
        <v>2</v>
      </c>
      <c r="S33" s="82"/>
      <c r="T33" s="94" t="str">
        <f t="shared" si="3"/>
        <v>4.5.2.</v>
      </c>
      <c r="U33" s="97"/>
    </row>
    <row r="34" spans="1:21" ht="13.8" x14ac:dyDescent="0.3">
      <c r="A34" s="44" t="str">
        <f t="shared" si="7"/>
        <v>4.5.3.</v>
      </c>
      <c r="B34" s="13" t="s">
        <v>18</v>
      </c>
      <c r="C34" s="57" t="str">
        <f>+C33</f>
        <v>vnt.</v>
      </c>
      <c r="D34" s="306"/>
      <c r="E34" s="306"/>
      <c r="F34" s="306"/>
      <c r="G34" s="306"/>
      <c r="H34" s="306"/>
      <c r="I34" s="306"/>
      <c r="J34" s="306"/>
      <c r="K34" s="306"/>
      <c r="L34" s="306"/>
      <c r="N34" s="282" t="s">
        <v>948</v>
      </c>
      <c r="O34" s="97">
        <v>2</v>
      </c>
      <c r="P34" s="82">
        <f t="shared" si="9"/>
        <v>4</v>
      </c>
      <c r="Q34" s="82">
        <f>COUNTIFS($O$1:$O34,1)</f>
        <v>5</v>
      </c>
      <c r="R34" s="82">
        <f t="shared" si="10"/>
        <v>3</v>
      </c>
      <c r="S34" s="82"/>
      <c r="T34" s="94" t="str">
        <f t="shared" si="3"/>
        <v>4.5.3.</v>
      </c>
      <c r="U34" s="97"/>
    </row>
    <row r="35" spans="1:21" ht="13.8" x14ac:dyDescent="0.3">
      <c r="A35" s="44" t="str">
        <f t="shared" si="7"/>
        <v>4.5.4.</v>
      </c>
      <c r="B35" s="13" t="s">
        <v>19</v>
      </c>
      <c r="C35" s="14" t="str">
        <f>CONCATENATE("Eur/",C34)</f>
        <v>Eur/vnt.</v>
      </c>
      <c r="D35" s="345" t="str">
        <f>IFERROR(ROUND(D36/D34,2),"-")</f>
        <v>-</v>
      </c>
      <c r="E35" s="307"/>
      <c r="F35" s="307"/>
      <c r="G35" s="307"/>
      <c r="H35" s="307"/>
      <c r="I35" s="307"/>
      <c r="J35" s="307"/>
      <c r="K35" s="307"/>
      <c r="L35" s="307"/>
      <c r="N35" s="282" t="s">
        <v>949</v>
      </c>
      <c r="O35" s="97">
        <v>2</v>
      </c>
      <c r="P35" s="82">
        <f t="shared" si="9"/>
        <v>4</v>
      </c>
      <c r="Q35" s="82">
        <f>COUNTIFS($O$1:$O35,1)</f>
        <v>5</v>
      </c>
      <c r="R35" s="82">
        <f t="shared" si="10"/>
        <v>4</v>
      </c>
      <c r="S35" s="82"/>
      <c r="T35" s="94" t="str">
        <f t="shared" si="3"/>
        <v>4.5.4.</v>
      </c>
      <c r="U35" s="97"/>
    </row>
    <row r="36" spans="1:21" ht="13.8" x14ac:dyDescent="0.3">
      <c r="A36" s="44" t="str">
        <f t="shared" si="7"/>
        <v>4.5.5.</v>
      </c>
      <c r="B36" s="13" t="s">
        <v>358</v>
      </c>
      <c r="C36" s="14" t="s">
        <v>15</v>
      </c>
      <c r="D36" s="306"/>
      <c r="E36" s="346">
        <f>ROUND(E34*E35,0)</f>
        <v>0</v>
      </c>
      <c r="F36" s="346">
        <f t="shared" ref="F36:L36" si="13">ROUND(F34*F35,0)</f>
        <v>0</v>
      </c>
      <c r="G36" s="346">
        <f t="shared" si="13"/>
        <v>0</v>
      </c>
      <c r="H36" s="346">
        <f t="shared" si="13"/>
        <v>0</v>
      </c>
      <c r="I36" s="346">
        <f t="shared" si="13"/>
        <v>0</v>
      </c>
      <c r="J36" s="346">
        <f t="shared" si="13"/>
        <v>0</v>
      </c>
      <c r="K36" s="346">
        <f t="shared" si="13"/>
        <v>0</v>
      </c>
      <c r="L36" s="346">
        <f t="shared" si="13"/>
        <v>0</v>
      </c>
      <c r="N36" s="282"/>
      <c r="O36" s="97">
        <v>2</v>
      </c>
      <c r="P36" s="82">
        <f t="shared" si="9"/>
        <v>4</v>
      </c>
      <c r="Q36" s="82">
        <f>COUNTIFS($O$1:$O36,1)</f>
        <v>5</v>
      </c>
      <c r="R36" s="82">
        <f t="shared" si="10"/>
        <v>5</v>
      </c>
      <c r="S36" s="82"/>
      <c r="T36" s="94" t="str">
        <f t="shared" si="3"/>
        <v>4.5.5.</v>
      </c>
      <c r="U36" s="97"/>
    </row>
    <row r="37" spans="1:21" ht="30" customHeight="1" thickBot="1" x14ac:dyDescent="0.35">
      <c r="A37" s="100" t="str">
        <f t="shared" si="7"/>
        <v>4.5.6.</v>
      </c>
      <c r="B37" s="103" t="s">
        <v>367</v>
      </c>
      <c r="C37" s="104"/>
      <c r="D37" s="486"/>
      <c r="E37" s="486"/>
      <c r="F37" s="486"/>
      <c r="G37" s="486"/>
      <c r="H37" s="486"/>
      <c r="I37" s="486"/>
      <c r="J37" s="486"/>
      <c r="K37" s="486"/>
      <c r="L37" s="486"/>
      <c r="N37" s="282" t="s">
        <v>950</v>
      </c>
      <c r="O37" s="97">
        <v>2</v>
      </c>
      <c r="P37" s="82">
        <f t="shared" si="9"/>
        <v>4</v>
      </c>
      <c r="Q37" s="82">
        <f>COUNTIFS($O$1:$O37,1)</f>
        <v>5</v>
      </c>
      <c r="R37" s="82">
        <f t="shared" si="10"/>
        <v>6</v>
      </c>
      <c r="S37" s="82"/>
      <c r="T37" s="94" t="str">
        <f t="shared" si="3"/>
        <v>4.5.6.</v>
      </c>
      <c r="U37" s="97"/>
    </row>
    <row r="38" spans="1:21" ht="13.8" x14ac:dyDescent="0.3">
      <c r="A38" s="54" t="str">
        <f t="shared" si="7"/>
        <v>4.6.</v>
      </c>
      <c r="B38" s="192" t="s">
        <v>362</v>
      </c>
      <c r="C38" s="91"/>
      <c r="D38" s="482"/>
      <c r="E38" s="480"/>
      <c r="F38" s="480"/>
      <c r="G38" s="480"/>
      <c r="H38" s="480"/>
      <c r="I38" s="480"/>
      <c r="J38" s="480"/>
      <c r="K38" s="480"/>
      <c r="L38" s="480"/>
      <c r="N38" s="282" t="s">
        <v>945</v>
      </c>
      <c r="O38" s="97">
        <v>1</v>
      </c>
      <c r="P38" s="82">
        <f t="shared" si="9"/>
        <v>4</v>
      </c>
      <c r="Q38" s="82">
        <f>COUNTIFS($O$1:$O38,1)</f>
        <v>6</v>
      </c>
      <c r="R38" s="82" t="str">
        <f t="shared" si="10"/>
        <v/>
      </c>
      <c r="S38" s="82"/>
      <c r="T38" s="94" t="str">
        <f t="shared" si="3"/>
        <v>4.6.</v>
      </c>
      <c r="U38" s="97"/>
    </row>
    <row r="39" spans="1:21" ht="13.8" x14ac:dyDescent="0.3">
      <c r="A39" s="44" t="str">
        <f t="shared" si="7"/>
        <v>4.6.1.</v>
      </c>
      <c r="B39" s="99" t="s">
        <v>357</v>
      </c>
      <c r="C39" s="90"/>
      <c r="D39" s="483"/>
      <c r="E39" s="481"/>
      <c r="F39" s="481"/>
      <c r="G39" s="481"/>
      <c r="H39" s="481"/>
      <c r="I39" s="481"/>
      <c r="J39" s="481"/>
      <c r="K39" s="481"/>
      <c r="L39" s="481"/>
      <c r="N39" s="282" t="s">
        <v>946</v>
      </c>
      <c r="O39" s="97">
        <v>2</v>
      </c>
      <c r="P39" s="82">
        <f t="shared" si="9"/>
        <v>4</v>
      </c>
      <c r="Q39" s="82">
        <f>COUNTIFS($O$1:$O39,1)</f>
        <v>6</v>
      </c>
      <c r="R39" s="82">
        <f t="shared" si="10"/>
        <v>1</v>
      </c>
      <c r="S39" s="82"/>
      <c r="T39" s="94" t="str">
        <f t="shared" si="3"/>
        <v>4.6.1.</v>
      </c>
      <c r="U39" s="97"/>
    </row>
    <row r="40" spans="1:21" ht="13.8" x14ac:dyDescent="0.3">
      <c r="A40" s="44" t="str">
        <f t="shared" si="7"/>
        <v>4.6.2.</v>
      </c>
      <c r="B40" s="13" t="s">
        <v>17</v>
      </c>
      <c r="C40" s="293" t="s">
        <v>20</v>
      </c>
      <c r="D40" s="306"/>
      <c r="E40" s="306"/>
      <c r="F40" s="306"/>
      <c r="G40" s="306"/>
      <c r="H40" s="306"/>
      <c r="I40" s="306"/>
      <c r="J40" s="306"/>
      <c r="K40" s="306"/>
      <c r="L40" s="306"/>
      <c r="N40" s="283" t="s">
        <v>947</v>
      </c>
      <c r="O40" s="97">
        <v>2</v>
      </c>
      <c r="P40" s="82">
        <f t="shared" si="9"/>
        <v>4</v>
      </c>
      <c r="Q40" s="82">
        <f>COUNTIFS($O$1:$O40,1)</f>
        <v>6</v>
      </c>
      <c r="R40" s="82">
        <f t="shared" si="10"/>
        <v>2</v>
      </c>
      <c r="S40" s="82"/>
      <c r="T40" s="94" t="str">
        <f t="shared" si="3"/>
        <v>4.6.2.</v>
      </c>
      <c r="U40" s="97"/>
    </row>
    <row r="41" spans="1:21" ht="13.8" x14ac:dyDescent="0.3">
      <c r="A41" s="44" t="str">
        <f t="shared" si="7"/>
        <v>4.6.3.</v>
      </c>
      <c r="B41" s="13" t="s">
        <v>18</v>
      </c>
      <c r="C41" s="57" t="str">
        <f>+C40</f>
        <v>vnt.</v>
      </c>
      <c r="D41" s="306"/>
      <c r="E41" s="306"/>
      <c r="F41" s="306"/>
      <c r="G41" s="306"/>
      <c r="H41" s="306"/>
      <c r="I41" s="306"/>
      <c r="J41" s="306"/>
      <c r="K41" s="306"/>
      <c r="L41" s="306"/>
      <c r="N41" s="282" t="s">
        <v>948</v>
      </c>
      <c r="O41" s="97">
        <v>2</v>
      </c>
      <c r="P41" s="82">
        <f t="shared" si="9"/>
        <v>4</v>
      </c>
      <c r="Q41" s="82">
        <f>COUNTIFS($O$1:$O41,1)</f>
        <v>6</v>
      </c>
      <c r="R41" s="82">
        <f t="shared" si="10"/>
        <v>3</v>
      </c>
      <c r="S41" s="82"/>
      <c r="T41" s="94" t="str">
        <f t="shared" si="3"/>
        <v>4.6.3.</v>
      </c>
      <c r="U41" s="97"/>
    </row>
    <row r="42" spans="1:21" ht="13.8" x14ac:dyDescent="0.3">
      <c r="A42" s="44" t="str">
        <f t="shared" si="7"/>
        <v>4.6.4.</v>
      </c>
      <c r="B42" s="13" t="s">
        <v>19</v>
      </c>
      <c r="C42" s="14" t="str">
        <f>CONCATENATE("Eur/",C41)</f>
        <v>Eur/vnt.</v>
      </c>
      <c r="D42" s="345" t="str">
        <f>IFERROR(ROUND(D43/D41,2),"-")</f>
        <v>-</v>
      </c>
      <c r="E42" s="307"/>
      <c r="F42" s="307"/>
      <c r="G42" s="307"/>
      <c r="H42" s="307"/>
      <c r="I42" s="307"/>
      <c r="J42" s="307"/>
      <c r="K42" s="307"/>
      <c r="L42" s="307"/>
      <c r="N42" s="282" t="s">
        <v>949</v>
      </c>
      <c r="O42" s="97">
        <v>2</v>
      </c>
      <c r="P42" s="82">
        <f t="shared" si="9"/>
        <v>4</v>
      </c>
      <c r="Q42" s="82">
        <f>COUNTIFS($O$1:$O42,1)</f>
        <v>6</v>
      </c>
      <c r="R42" s="82">
        <f t="shared" si="10"/>
        <v>4</v>
      </c>
      <c r="S42" s="82"/>
      <c r="T42" s="94" t="str">
        <f t="shared" si="3"/>
        <v>4.6.4.</v>
      </c>
      <c r="U42" s="97"/>
    </row>
    <row r="43" spans="1:21" ht="13.8" x14ac:dyDescent="0.3">
      <c r="A43" s="44" t="str">
        <f t="shared" si="7"/>
        <v>4.6.5.</v>
      </c>
      <c r="B43" s="13" t="s">
        <v>358</v>
      </c>
      <c r="C43" s="14" t="s">
        <v>15</v>
      </c>
      <c r="D43" s="306"/>
      <c r="E43" s="346">
        <f>ROUND(E41*E42,0)</f>
        <v>0</v>
      </c>
      <c r="F43" s="346">
        <f t="shared" ref="F43:L43" si="14">ROUND(F41*F42,0)</f>
        <v>0</v>
      </c>
      <c r="G43" s="346">
        <f t="shared" si="14"/>
        <v>0</v>
      </c>
      <c r="H43" s="346">
        <f t="shared" si="14"/>
        <v>0</v>
      </c>
      <c r="I43" s="346">
        <f t="shared" si="14"/>
        <v>0</v>
      </c>
      <c r="J43" s="346">
        <f t="shared" si="14"/>
        <v>0</v>
      </c>
      <c r="K43" s="346">
        <f t="shared" si="14"/>
        <v>0</v>
      </c>
      <c r="L43" s="346">
        <f t="shared" si="14"/>
        <v>0</v>
      </c>
      <c r="N43" s="282"/>
      <c r="O43" s="97">
        <v>2</v>
      </c>
      <c r="P43" s="82">
        <f t="shared" si="9"/>
        <v>4</v>
      </c>
      <c r="Q43" s="82">
        <f>COUNTIFS($O$1:$O43,1)</f>
        <v>6</v>
      </c>
      <c r="R43" s="82">
        <f t="shared" si="10"/>
        <v>5</v>
      </c>
      <c r="S43" s="82"/>
      <c r="T43" s="94" t="str">
        <f t="shared" si="3"/>
        <v>4.6.5.</v>
      </c>
      <c r="U43" s="97"/>
    </row>
    <row r="44" spans="1:21" ht="30" customHeight="1" thickBot="1" x14ac:dyDescent="0.35">
      <c r="A44" s="100" t="str">
        <f t="shared" si="7"/>
        <v>4.6.6.</v>
      </c>
      <c r="B44" s="103" t="s">
        <v>367</v>
      </c>
      <c r="C44" s="104"/>
      <c r="D44" s="486"/>
      <c r="E44" s="486"/>
      <c r="F44" s="486"/>
      <c r="G44" s="486"/>
      <c r="H44" s="486"/>
      <c r="I44" s="486"/>
      <c r="J44" s="486"/>
      <c r="K44" s="486"/>
      <c r="L44" s="486"/>
      <c r="N44" s="282" t="s">
        <v>950</v>
      </c>
      <c r="O44" s="97">
        <v>2</v>
      </c>
      <c r="P44" s="82">
        <f t="shared" si="9"/>
        <v>4</v>
      </c>
      <c r="Q44" s="82">
        <f>COUNTIFS($O$1:$O44,1)</f>
        <v>6</v>
      </c>
      <c r="R44" s="82">
        <f t="shared" si="10"/>
        <v>6</v>
      </c>
      <c r="S44" s="82"/>
      <c r="T44" s="94" t="str">
        <f t="shared" si="3"/>
        <v>4.6.6.</v>
      </c>
      <c r="U44" s="97"/>
    </row>
    <row r="45" spans="1:21" ht="13.8" x14ac:dyDescent="0.3">
      <c r="A45" s="54" t="str">
        <f t="shared" si="7"/>
        <v>4.7.</v>
      </c>
      <c r="B45" s="192" t="s">
        <v>361</v>
      </c>
      <c r="C45" s="91"/>
      <c r="D45" s="484"/>
      <c r="E45" s="485"/>
      <c r="F45" s="485"/>
      <c r="G45" s="485"/>
      <c r="H45" s="485"/>
      <c r="I45" s="485"/>
      <c r="J45" s="485"/>
      <c r="K45" s="485"/>
      <c r="L45" s="485"/>
      <c r="N45" s="282" t="s">
        <v>951</v>
      </c>
      <c r="O45" s="97">
        <v>1</v>
      </c>
      <c r="P45" s="82">
        <f t="shared" si="9"/>
        <v>4</v>
      </c>
      <c r="Q45" s="82">
        <f>COUNTIFS($O$1:$O45,1)</f>
        <v>7</v>
      </c>
      <c r="R45" s="82" t="str">
        <f t="shared" si="10"/>
        <v/>
      </c>
      <c r="S45" s="82"/>
      <c r="T45" s="94" t="str">
        <f t="shared" si="3"/>
        <v>4.7.</v>
      </c>
      <c r="U45" s="97"/>
    </row>
    <row r="46" spans="1:21" ht="13.8" x14ac:dyDescent="0.3">
      <c r="A46" s="44" t="str">
        <f t="shared" si="7"/>
        <v>4.7.1.</v>
      </c>
      <c r="B46" s="99" t="s">
        <v>357</v>
      </c>
      <c r="C46" s="90"/>
      <c r="D46" s="483"/>
      <c r="E46" s="481"/>
      <c r="F46" s="481"/>
      <c r="G46" s="481"/>
      <c r="H46" s="481"/>
      <c r="I46" s="481"/>
      <c r="J46" s="481"/>
      <c r="K46" s="481"/>
      <c r="L46" s="481"/>
      <c r="N46" s="282" t="s">
        <v>946</v>
      </c>
      <c r="O46" s="97">
        <v>2</v>
      </c>
      <c r="P46" s="82">
        <f t="shared" si="9"/>
        <v>4</v>
      </c>
      <c r="Q46" s="82">
        <f>COUNTIFS($O$1:$O46,1)</f>
        <v>7</v>
      </c>
      <c r="R46" s="82">
        <f t="shared" si="10"/>
        <v>1</v>
      </c>
      <c r="S46" s="82"/>
      <c r="T46" s="94" t="str">
        <f t="shared" si="3"/>
        <v>4.7.1.</v>
      </c>
      <c r="U46" s="97"/>
    </row>
    <row r="47" spans="1:21" s="17" customFormat="1" ht="13.8" x14ac:dyDescent="0.3">
      <c r="A47" s="44" t="str">
        <f t="shared" si="7"/>
        <v>4.7.2.</v>
      </c>
      <c r="B47" s="13" t="s">
        <v>18</v>
      </c>
      <c r="C47" s="293" t="s">
        <v>240</v>
      </c>
      <c r="D47" s="306"/>
      <c r="E47" s="306"/>
      <c r="F47" s="306"/>
      <c r="G47" s="306"/>
      <c r="H47" s="306"/>
      <c r="I47" s="306"/>
      <c r="J47" s="306"/>
      <c r="K47" s="306"/>
      <c r="L47" s="306"/>
      <c r="M47" s="16"/>
      <c r="N47" s="283" t="s">
        <v>947</v>
      </c>
      <c r="O47" s="97">
        <v>2</v>
      </c>
      <c r="P47" s="82">
        <f t="shared" si="9"/>
        <v>4</v>
      </c>
      <c r="Q47" s="82">
        <f>COUNTIFS($O$1:$O47,1)</f>
        <v>7</v>
      </c>
      <c r="R47" s="82">
        <f t="shared" si="10"/>
        <v>2</v>
      </c>
      <c r="S47" s="82"/>
      <c r="T47" s="94" t="str">
        <f t="shared" si="3"/>
        <v>4.7.2.</v>
      </c>
      <c r="U47" s="97"/>
    </row>
    <row r="48" spans="1:21" ht="13.8" x14ac:dyDescent="0.3">
      <c r="A48" s="44" t="str">
        <f t="shared" si="7"/>
        <v>4.7.3.</v>
      </c>
      <c r="B48" s="13" t="s">
        <v>19</v>
      </c>
      <c r="C48" s="14" t="str">
        <f>CONCATENATE("Eur/",C47)</f>
        <v>Eur/val.</v>
      </c>
      <c r="D48" s="345" t="str">
        <f>IFERROR(ROUND(D49/D47,2),"-")</f>
        <v>-</v>
      </c>
      <c r="E48" s="307"/>
      <c r="F48" s="307"/>
      <c r="G48" s="307"/>
      <c r="H48" s="307"/>
      <c r="I48" s="307"/>
      <c r="J48" s="307"/>
      <c r="K48" s="307"/>
      <c r="L48" s="307"/>
      <c r="N48" s="282" t="s">
        <v>949</v>
      </c>
      <c r="O48" s="97">
        <v>2</v>
      </c>
      <c r="P48" s="82">
        <f t="shared" si="9"/>
        <v>4</v>
      </c>
      <c r="Q48" s="82">
        <f>COUNTIFS($O$1:$O48,1)</f>
        <v>7</v>
      </c>
      <c r="R48" s="82">
        <f t="shared" si="10"/>
        <v>3</v>
      </c>
      <c r="S48" s="82"/>
      <c r="T48" s="94" t="str">
        <f t="shared" si="3"/>
        <v>4.7.3.</v>
      </c>
      <c r="U48" s="97"/>
    </row>
    <row r="49" spans="1:21" ht="13.8" x14ac:dyDescent="0.3">
      <c r="A49" s="44" t="str">
        <f t="shared" si="7"/>
        <v>4.7.4.</v>
      </c>
      <c r="B49" s="13" t="s">
        <v>360</v>
      </c>
      <c r="C49" s="14" t="s">
        <v>15</v>
      </c>
      <c r="D49" s="306"/>
      <c r="E49" s="346">
        <f>ROUND(E47*E48,0)</f>
        <v>0</v>
      </c>
      <c r="F49" s="346">
        <f t="shared" ref="F49:L49" si="15">ROUND(F47*F48,0)</f>
        <v>0</v>
      </c>
      <c r="G49" s="346">
        <f t="shared" si="15"/>
        <v>0</v>
      </c>
      <c r="H49" s="346">
        <f t="shared" si="15"/>
        <v>0</v>
      </c>
      <c r="I49" s="346">
        <f t="shared" si="15"/>
        <v>0</v>
      </c>
      <c r="J49" s="346">
        <f t="shared" si="15"/>
        <v>0</v>
      </c>
      <c r="K49" s="346">
        <f t="shared" si="15"/>
        <v>0</v>
      </c>
      <c r="L49" s="346">
        <f t="shared" si="15"/>
        <v>0</v>
      </c>
      <c r="N49" s="282"/>
      <c r="O49" s="97">
        <v>2</v>
      </c>
      <c r="P49" s="82">
        <f t="shared" si="9"/>
        <v>4</v>
      </c>
      <c r="Q49" s="82">
        <f>COUNTIFS($O$1:$O49,1)</f>
        <v>7</v>
      </c>
      <c r="R49" s="82">
        <f t="shared" ref="R49:R80" si="16">IF($O49=$R$1,IF($O49&lt;&gt;$O48, 1, R48+1),"")</f>
        <v>4</v>
      </c>
      <c r="S49" s="82"/>
      <c r="T49" s="94" t="str">
        <f t="shared" si="3"/>
        <v>4.7.4.</v>
      </c>
      <c r="U49" s="97"/>
    </row>
    <row r="50" spans="1:21" ht="30" customHeight="1" thickBot="1" x14ac:dyDescent="0.35">
      <c r="A50" s="100" t="str">
        <f t="shared" si="7"/>
        <v>4.7.5.</v>
      </c>
      <c r="B50" s="98" t="s">
        <v>367</v>
      </c>
      <c r="C50" s="93"/>
      <c r="D50" s="487"/>
      <c r="E50" s="488"/>
      <c r="F50" s="488"/>
      <c r="G50" s="488"/>
      <c r="H50" s="488"/>
      <c r="I50" s="488"/>
      <c r="J50" s="488"/>
      <c r="K50" s="488"/>
      <c r="L50" s="488"/>
      <c r="N50" s="282" t="s">
        <v>950</v>
      </c>
      <c r="O50" s="97">
        <v>2</v>
      </c>
      <c r="P50" s="82">
        <f t="shared" si="9"/>
        <v>4</v>
      </c>
      <c r="Q50" s="82">
        <f>COUNTIFS($O$1:$O50,1)</f>
        <v>7</v>
      </c>
      <c r="R50" s="82">
        <f t="shared" si="16"/>
        <v>5</v>
      </c>
      <c r="S50" s="82"/>
      <c r="T50" s="94" t="str">
        <f t="shared" si="3"/>
        <v>4.7.5.</v>
      </c>
      <c r="U50" s="97"/>
    </row>
    <row r="51" spans="1:21" ht="13.8" x14ac:dyDescent="0.3">
      <c r="A51" s="54" t="str">
        <f t="shared" si="7"/>
        <v>4.8.</v>
      </c>
      <c r="B51" s="192" t="s">
        <v>361</v>
      </c>
      <c r="C51" s="91"/>
      <c r="D51" s="480"/>
      <c r="E51" s="480"/>
      <c r="F51" s="480"/>
      <c r="G51" s="480"/>
      <c r="H51" s="480"/>
      <c r="I51" s="480"/>
      <c r="J51" s="480"/>
      <c r="K51" s="480"/>
      <c r="L51" s="480"/>
      <c r="N51" s="282" t="s">
        <v>951</v>
      </c>
      <c r="O51" s="97">
        <v>1</v>
      </c>
      <c r="P51" s="82">
        <f t="shared" ref="P51:P86" si="17">+P50</f>
        <v>4</v>
      </c>
      <c r="Q51" s="82">
        <f>COUNTIFS($O$1:$O51,1)</f>
        <v>8</v>
      </c>
      <c r="R51" s="82" t="str">
        <f t="shared" si="16"/>
        <v/>
      </c>
      <c r="S51" s="82"/>
      <c r="T51" s="94" t="str">
        <f t="shared" si="3"/>
        <v>4.8.</v>
      </c>
      <c r="U51" s="97"/>
    </row>
    <row r="52" spans="1:21" ht="13.8" x14ac:dyDescent="0.3">
      <c r="A52" s="44" t="str">
        <f t="shared" si="7"/>
        <v>4.8.1.</v>
      </c>
      <c r="B52" s="99" t="s">
        <v>357</v>
      </c>
      <c r="C52" s="90"/>
      <c r="D52" s="481"/>
      <c r="E52" s="481"/>
      <c r="F52" s="481"/>
      <c r="G52" s="481"/>
      <c r="H52" s="481"/>
      <c r="I52" s="481"/>
      <c r="J52" s="481"/>
      <c r="K52" s="481"/>
      <c r="L52" s="481"/>
      <c r="N52" s="282" t="s">
        <v>946</v>
      </c>
      <c r="O52" s="97">
        <v>2</v>
      </c>
      <c r="P52" s="82">
        <f t="shared" si="17"/>
        <v>4</v>
      </c>
      <c r="Q52" s="82">
        <f>COUNTIFS($O$1:$O52,1)</f>
        <v>8</v>
      </c>
      <c r="R52" s="82">
        <f t="shared" si="16"/>
        <v>1</v>
      </c>
      <c r="S52" s="82"/>
      <c r="T52" s="94" t="str">
        <f t="shared" si="3"/>
        <v>4.8.1.</v>
      </c>
      <c r="U52" s="97"/>
    </row>
    <row r="53" spans="1:21" ht="13.8" x14ac:dyDescent="0.3">
      <c r="A53" s="44" t="str">
        <f t="shared" si="7"/>
        <v>4.8.2.</v>
      </c>
      <c r="B53" s="13" t="s">
        <v>18</v>
      </c>
      <c r="C53" s="293" t="s">
        <v>240</v>
      </c>
      <c r="D53" s="306"/>
      <c r="E53" s="306"/>
      <c r="F53" s="306"/>
      <c r="G53" s="306"/>
      <c r="H53" s="306"/>
      <c r="I53" s="306"/>
      <c r="J53" s="306"/>
      <c r="K53" s="306"/>
      <c r="L53" s="306"/>
      <c r="N53" s="283" t="s">
        <v>947</v>
      </c>
      <c r="O53" s="97">
        <v>2</v>
      </c>
      <c r="P53" s="82">
        <f t="shared" si="17"/>
        <v>4</v>
      </c>
      <c r="Q53" s="82">
        <f>COUNTIFS($O$1:$O53,1)</f>
        <v>8</v>
      </c>
      <c r="R53" s="82">
        <f t="shared" si="16"/>
        <v>2</v>
      </c>
      <c r="S53" s="82"/>
      <c r="T53" s="94" t="str">
        <f t="shared" si="3"/>
        <v>4.8.2.</v>
      </c>
      <c r="U53" s="97"/>
    </row>
    <row r="54" spans="1:21" ht="13.8" x14ac:dyDescent="0.3">
      <c r="A54" s="44" t="str">
        <f t="shared" si="7"/>
        <v>4.8.3.</v>
      </c>
      <c r="B54" s="13" t="s">
        <v>19</v>
      </c>
      <c r="C54" s="14" t="str">
        <f>CONCATENATE("Eur/",C53)</f>
        <v>Eur/val.</v>
      </c>
      <c r="D54" s="345" t="str">
        <f>IFERROR(ROUND(D55/D53,2),"-")</f>
        <v>-</v>
      </c>
      <c r="E54" s="307"/>
      <c r="F54" s="307"/>
      <c r="G54" s="307"/>
      <c r="H54" s="307"/>
      <c r="I54" s="307"/>
      <c r="J54" s="307"/>
      <c r="K54" s="307"/>
      <c r="L54" s="307"/>
      <c r="N54" s="282" t="s">
        <v>949</v>
      </c>
      <c r="O54" s="97">
        <v>2</v>
      </c>
      <c r="P54" s="82">
        <f t="shared" si="17"/>
        <v>4</v>
      </c>
      <c r="Q54" s="82">
        <f>COUNTIFS($O$1:$O54,1)</f>
        <v>8</v>
      </c>
      <c r="R54" s="82">
        <f t="shared" si="16"/>
        <v>3</v>
      </c>
      <c r="S54" s="82"/>
      <c r="T54" s="94" t="str">
        <f t="shared" si="3"/>
        <v>4.8.3.</v>
      </c>
      <c r="U54" s="97"/>
    </row>
    <row r="55" spans="1:21" ht="13.8" x14ac:dyDescent="0.3">
      <c r="A55" s="44" t="str">
        <f t="shared" si="7"/>
        <v>4.8.4.</v>
      </c>
      <c r="B55" s="13" t="s">
        <v>360</v>
      </c>
      <c r="C55" s="14" t="s">
        <v>15</v>
      </c>
      <c r="D55" s="306"/>
      <c r="E55" s="346">
        <f>ROUND(E53*E54,0)</f>
        <v>0</v>
      </c>
      <c r="F55" s="346">
        <f t="shared" ref="F55:L55" si="18">ROUND(F53*F54,0)</f>
        <v>0</v>
      </c>
      <c r="G55" s="346">
        <f t="shared" si="18"/>
        <v>0</v>
      </c>
      <c r="H55" s="346">
        <f t="shared" si="18"/>
        <v>0</v>
      </c>
      <c r="I55" s="346">
        <f t="shared" si="18"/>
        <v>0</v>
      </c>
      <c r="J55" s="346">
        <f t="shared" si="18"/>
        <v>0</v>
      </c>
      <c r="K55" s="346">
        <f t="shared" si="18"/>
        <v>0</v>
      </c>
      <c r="L55" s="346">
        <f t="shared" si="18"/>
        <v>0</v>
      </c>
      <c r="N55" s="282"/>
      <c r="O55" s="97">
        <v>2</v>
      </c>
      <c r="P55" s="82">
        <f t="shared" si="17"/>
        <v>4</v>
      </c>
      <c r="Q55" s="82">
        <f>COUNTIFS($O$1:$O55,1)</f>
        <v>8</v>
      </c>
      <c r="R55" s="82">
        <f t="shared" si="16"/>
        <v>4</v>
      </c>
      <c r="S55" s="82"/>
      <c r="T55" s="94" t="str">
        <f t="shared" si="3"/>
        <v>4.8.4.</v>
      </c>
      <c r="U55" s="97"/>
    </row>
    <row r="56" spans="1:21" ht="30" customHeight="1" thickBot="1" x14ac:dyDescent="0.35">
      <c r="A56" s="100" t="str">
        <f t="shared" si="7"/>
        <v>4.8.5.</v>
      </c>
      <c r="B56" s="98" t="s">
        <v>367</v>
      </c>
      <c r="C56" s="93"/>
      <c r="D56" s="478"/>
      <c r="E56" s="478"/>
      <c r="F56" s="478"/>
      <c r="G56" s="478"/>
      <c r="H56" s="478"/>
      <c r="I56" s="478"/>
      <c r="J56" s="478"/>
      <c r="K56" s="478"/>
      <c r="L56" s="478"/>
      <c r="N56" s="282" t="s">
        <v>950</v>
      </c>
      <c r="O56" s="97">
        <v>2</v>
      </c>
      <c r="P56" s="82">
        <f t="shared" si="17"/>
        <v>4</v>
      </c>
      <c r="Q56" s="82">
        <f>COUNTIFS($O$1:$O56,1)</f>
        <v>8</v>
      </c>
      <c r="R56" s="82">
        <f t="shared" si="16"/>
        <v>5</v>
      </c>
      <c r="S56" s="82"/>
      <c r="T56" s="94" t="str">
        <f t="shared" si="3"/>
        <v>4.8.5.</v>
      </c>
      <c r="U56" s="97"/>
    </row>
    <row r="57" spans="1:21" ht="13.8" x14ac:dyDescent="0.3">
      <c r="A57" s="54" t="str">
        <f t="shared" si="7"/>
        <v>4.9.</v>
      </c>
      <c r="B57" s="192" t="s">
        <v>361</v>
      </c>
      <c r="C57" s="91"/>
      <c r="D57" s="480"/>
      <c r="E57" s="480"/>
      <c r="F57" s="480"/>
      <c r="G57" s="480"/>
      <c r="H57" s="480"/>
      <c r="I57" s="480"/>
      <c r="J57" s="480"/>
      <c r="K57" s="480"/>
      <c r="L57" s="480"/>
      <c r="N57" s="282" t="s">
        <v>951</v>
      </c>
      <c r="O57" s="97">
        <v>1</v>
      </c>
      <c r="P57" s="82">
        <f t="shared" si="17"/>
        <v>4</v>
      </c>
      <c r="Q57" s="82">
        <f>COUNTIFS($O$1:$O57,1)</f>
        <v>9</v>
      </c>
      <c r="R57" s="82" t="str">
        <f t="shared" si="16"/>
        <v/>
      </c>
      <c r="S57" s="82"/>
      <c r="T57" s="94" t="str">
        <f t="shared" si="3"/>
        <v>4.9.</v>
      </c>
      <c r="U57" s="97"/>
    </row>
    <row r="58" spans="1:21" ht="13.8" x14ac:dyDescent="0.3">
      <c r="A58" s="44" t="str">
        <f t="shared" si="7"/>
        <v>4.9.1.</v>
      </c>
      <c r="B58" s="99" t="s">
        <v>357</v>
      </c>
      <c r="C58" s="90"/>
      <c r="D58" s="481"/>
      <c r="E58" s="481"/>
      <c r="F58" s="481"/>
      <c r="G58" s="481"/>
      <c r="H58" s="481"/>
      <c r="I58" s="481"/>
      <c r="J58" s="481"/>
      <c r="K58" s="481"/>
      <c r="L58" s="481"/>
      <c r="N58" s="282" t="s">
        <v>946</v>
      </c>
      <c r="O58" s="97">
        <v>2</v>
      </c>
      <c r="P58" s="82">
        <f t="shared" si="17"/>
        <v>4</v>
      </c>
      <c r="Q58" s="82">
        <f>COUNTIFS($O$1:$O58,1)</f>
        <v>9</v>
      </c>
      <c r="R58" s="82">
        <f t="shared" si="16"/>
        <v>1</v>
      </c>
      <c r="S58" s="82"/>
      <c r="T58" s="94" t="str">
        <f t="shared" si="3"/>
        <v>4.9.1.</v>
      </c>
      <c r="U58" s="97"/>
    </row>
    <row r="59" spans="1:21" ht="13.8" x14ac:dyDescent="0.3">
      <c r="A59" s="44" t="str">
        <f t="shared" si="7"/>
        <v>4.9.2.</v>
      </c>
      <c r="B59" s="13" t="s">
        <v>18</v>
      </c>
      <c r="C59" s="293" t="s">
        <v>240</v>
      </c>
      <c r="D59" s="306"/>
      <c r="E59" s="306"/>
      <c r="F59" s="306"/>
      <c r="G59" s="306"/>
      <c r="H59" s="306"/>
      <c r="I59" s="306"/>
      <c r="J59" s="306"/>
      <c r="K59" s="306"/>
      <c r="L59" s="306"/>
      <c r="N59" s="283" t="s">
        <v>947</v>
      </c>
      <c r="O59" s="97">
        <v>2</v>
      </c>
      <c r="P59" s="82">
        <f t="shared" si="17"/>
        <v>4</v>
      </c>
      <c r="Q59" s="82">
        <f>COUNTIFS($O$1:$O59,1)</f>
        <v>9</v>
      </c>
      <c r="R59" s="82">
        <f t="shared" si="16"/>
        <v>2</v>
      </c>
      <c r="S59" s="82"/>
      <c r="T59" s="94" t="str">
        <f t="shared" si="3"/>
        <v>4.9.2.</v>
      </c>
      <c r="U59" s="97"/>
    </row>
    <row r="60" spans="1:21" ht="13.8" x14ac:dyDescent="0.3">
      <c r="A60" s="44" t="str">
        <f t="shared" si="7"/>
        <v>4.9.3.</v>
      </c>
      <c r="B60" s="13" t="s">
        <v>19</v>
      </c>
      <c r="C60" s="14" t="str">
        <f>CONCATENATE("Eur/",C59)</f>
        <v>Eur/val.</v>
      </c>
      <c r="D60" s="345" t="str">
        <f>IFERROR(ROUND(D61/D59,2),"-")</f>
        <v>-</v>
      </c>
      <c r="E60" s="307"/>
      <c r="F60" s="307"/>
      <c r="G60" s="307"/>
      <c r="H60" s="307"/>
      <c r="I60" s="307"/>
      <c r="J60" s="307"/>
      <c r="K60" s="307"/>
      <c r="L60" s="307"/>
      <c r="N60" s="282" t="s">
        <v>949</v>
      </c>
      <c r="O60" s="97">
        <v>2</v>
      </c>
      <c r="P60" s="82">
        <f t="shared" si="17"/>
        <v>4</v>
      </c>
      <c r="Q60" s="82">
        <f>COUNTIFS($O$1:$O60,1)</f>
        <v>9</v>
      </c>
      <c r="R60" s="82">
        <f t="shared" si="16"/>
        <v>3</v>
      </c>
      <c r="S60" s="82"/>
      <c r="T60" s="94" t="str">
        <f t="shared" si="3"/>
        <v>4.9.3.</v>
      </c>
      <c r="U60" s="97"/>
    </row>
    <row r="61" spans="1:21" ht="13.8" x14ac:dyDescent="0.3">
      <c r="A61" s="44" t="str">
        <f t="shared" si="7"/>
        <v>4.9.4.</v>
      </c>
      <c r="B61" s="13" t="s">
        <v>360</v>
      </c>
      <c r="C61" s="14" t="s">
        <v>15</v>
      </c>
      <c r="D61" s="306"/>
      <c r="E61" s="346">
        <f>ROUND(E59*E60,0)</f>
        <v>0</v>
      </c>
      <c r="F61" s="346">
        <f t="shared" ref="F61:L61" si="19">ROUND(F59*F60,0)</f>
        <v>0</v>
      </c>
      <c r="G61" s="346">
        <f t="shared" si="19"/>
        <v>0</v>
      </c>
      <c r="H61" s="346">
        <f t="shared" si="19"/>
        <v>0</v>
      </c>
      <c r="I61" s="346">
        <f t="shared" si="19"/>
        <v>0</v>
      </c>
      <c r="J61" s="346">
        <f t="shared" si="19"/>
        <v>0</v>
      </c>
      <c r="K61" s="346">
        <f t="shared" si="19"/>
        <v>0</v>
      </c>
      <c r="L61" s="346">
        <f t="shared" si="19"/>
        <v>0</v>
      </c>
      <c r="N61" s="282"/>
      <c r="O61" s="97">
        <v>2</v>
      </c>
      <c r="P61" s="82">
        <f t="shared" si="17"/>
        <v>4</v>
      </c>
      <c r="Q61" s="82">
        <f>COUNTIFS($O$1:$O61,1)</f>
        <v>9</v>
      </c>
      <c r="R61" s="82">
        <f t="shared" si="16"/>
        <v>4</v>
      </c>
      <c r="S61" s="82"/>
      <c r="T61" s="94" t="str">
        <f t="shared" si="3"/>
        <v>4.9.4.</v>
      </c>
      <c r="U61" s="97"/>
    </row>
    <row r="62" spans="1:21" ht="30" customHeight="1" thickBot="1" x14ac:dyDescent="0.35">
      <c r="A62" s="100" t="str">
        <f t="shared" si="7"/>
        <v>4.9.5.</v>
      </c>
      <c r="B62" s="98" t="s">
        <v>367</v>
      </c>
      <c r="C62" s="93"/>
      <c r="D62" s="478"/>
      <c r="E62" s="478"/>
      <c r="F62" s="478"/>
      <c r="G62" s="478"/>
      <c r="H62" s="478"/>
      <c r="I62" s="478"/>
      <c r="J62" s="478"/>
      <c r="K62" s="478"/>
      <c r="L62" s="478"/>
      <c r="N62" s="282" t="s">
        <v>950</v>
      </c>
      <c r="O62" s="97">
        <v>2</v>
      </c>
      <c r="P62" s="82">
        <f t="shared" si="17"/>
        <v>4</v>
      </c>
      <c r="Q62" s="82">
        <f>COUNTIFS($O$1:$O62,1)</f>
        <v>9</v>
      </c>
      <c r="R62" s="82">
        <f t="shared" si="16"/>
        <v>5</v>
      </c>
      <c r="S62" s="82"/>
      <c r="T62" s="94" t="str">
        <f t="shared" si="3"/>
        <v>4.9.5.</v>
      </c>
      <c r="U62" s="97"/>
    </row>
    <row r="63" spans="1:21" ht="13.8" x14ac:dyDescent="0.3">
      <c r="A63" s="54" t="str">
        <f t="shared" si="7"/>
        <v>4.10.</v>
      </c>
      <c r="B63" s="192" t="s">
        <v>361</v>
      </c>
      <c r="C63" s="91"/>
      <c r="D63" s="480"/>
      <c r="E63" s="480"/>
      <c r="F63" s="480"/>
      <c r="G63" s="480"/>
      <c r="H63" s="480"/>
      <c r="I63" s="480"/>
      <c r="J63" s="480"/>
      <c r="K63" s="480"/>
      <c r="L63" s="480"/>
      <c r="N63" s="282" t="s">
        <v>951</v>
      </c>
      <c r="O63" s="97">
        <v>1</v>
      </c>
      <c r="P63" s="82">
        <f t="shared" si="17"/>
        <v>4</v>
      </c>
      <c r="Q63" s="82">
        <f>COUNTIFS($O$1:$O63,1)</f>
        <v>10</v>
      </c>
      <c r="R63" s="82" t="str">
        <f t="shared" si="16"/>
        <v/>
      </c>
      <c r="S63" s="82"/>
      <c r="T63" s="94" t="str">
        <f t="shared" si="3"/>
        <v>4.10.</v>
      </c>
      <c r="U63" s="97"/>
    </row>
    <row r="64" spans="1:21" ht="13.8" x14ac:dyDescent="0.3">
      <c r="A64" s="44" t="str">
        <f t="shared" si="7"/>
        <v>4.10.1.</v>
      </c>
      <c r="B64" s="99" t="s">
        <v>357</v>
      </c>
      <c r="C64" s="90"/>
      <c r="D64" s="481"/>
      <c r="E64" s="481"/>
      <c r="F64" s="481"/>
      <c r="G64" s="481"/>
      <c r="H64" s="481"/>
      <c r="I64" s="481"/>
      <c r="J64" s="481"/>
      <c r="K64" s="481"/>
      <c r="L64" s="481"/>
      <c r="N64" s="282" t="s">
        <v>946</v>
      </c>
      <c r="O64" s="97">
        <v>2</v>
      </c>
      <c r="P64" s="82">
        <f t="shared" si="17"/>
        <v>4</v>
      </c>
      <c r="Q64" s="82">
        <f>COUNTIFS($O$1:$O64,1)</f>
        <v>10</v>
      </c>
      <c r="R64" s="82">
        <f t="shared" si="16"/>
        <v>1</v>
      </c>
      <c r="S64" s="82"/>
      <c r="T64" s="94" t="str">
        <f t="shared" si="3"/>
        <v>4.10.1.</v>
      </c>
      <c r="U64" s="97"/>
    </row>
    <row r="65" spans="1:21" ht="13.8" x14ac:dyDescent="0.3">
      <c r="A65" s="44" t="str">
        <f t="shared" si="7"/>
        <v>4.10.2.</v>
      </c>
      <c r="B65" s="13" t="s">
        <v>18</v>
      </c>
      <c r="C65" s="293" t="s">
        <v>240</v>
      </c>
      <c r="D65" s="306"/>
      <c r="E65" s="306"/>
      <c r="F65" s="306"/>
      <c r="G65" s="306"/>
      <c r="H65" s="306"/>
      <c r="I65" s="306"/>
      <c r="J65" s="306"/>
      <c r="K65" s="306"/>
      <c r="L65" s="306"/>
      <c r="N65" s="283" t="s">
        <v>947</v>
      </c>
      <c r="O65" s="97">
        <v>2</v>
      </c>
      <c r="P65" s="82">
        <f t="shared" si="17"/>
        <v>4</v>
      </c>
      <c r="Q65" s="82">
        <f>COUNTIFS($O$1:$O65,1)</f>
        <v>10</v>
      </c>
      <c r="R65" s="82">
        <f t="shared" si="16"/>
        <v>2</v>
      </c>
      <c r="S65" s="82"/>
      <c r="T65" s="94" t="str">
        <f t="shared" si="3"/>
        <v>4.10.2.</v>
      </c>
      <c r="U65" s="97"/>
    </row>
    <row r="66" spans="1:21" ht="13.8" x14ac:dyDescent="0.3">
      <c r="A66" s="44" t="str">
        <f t="shared" si="7"/>
        <v>4.10.3.</v>
      </c>
      <c r="B66" s="13" t="s">
        <v>19</v>
      </c>
      <c r="C66" s="14" t="str">
        <f>CONCATENATE("Eur/",C65)</f>
        <v>Eur/val.</v>
      </c>
      <c r="D66" s="345" t="str">
        <f>IFERROR(ROUND(D67/D65,2),"-")</f>
        <v>-</v>
      </c>
      <c r="E66" s="307"/>
      <c r="F66" s="307"/>
      <c r="G66" s="307"/>
      <c r="H66" s="307"/>
      <c r="I66" s="307"/>
      <c r="J66" s="307"/>
      <c r="K66" s="307"/>
      <c r="L66" s="307"/>
      <c r="N66" s="282" t="s">
        <v>949</v>
      </c>
      <c r="O66" s="97">
        <v>2</v>
      </c>
      <c r="P66" s="82">
        <f t="shared" si="17"/>
        <v>4</v>
      </c>
      <c r="Q66" s="82">
        <f>COUNTIFS($O$1:$O66,1)</f>
        <v>10</v>
      </c>
      <c r="R66" s="82">
        <f t="shared" si="16"/>
        <v>3</v>
      </c>
      <c r="S66" s="82"/>
      <c r="T66" s="94" t="str">
        <f t="shared" si="3"/>
        <v>4.10.3.</v>
      </c>
      <c r="U66" s="97"/>
    </row>
    <row r="67" spans="1:21" ht="13.8" x14ac:dyDescent="0.3">
      <c r="A67" s="44" t="str">
        <f t="shared" si="7"/>
        <v>4.10.4.</v>
      </c>
      <c r="B67" s="13" t="s">
        <v>360</v>
      </c>
      <c r="C67" s="14" t="s">
        <v>15</v>
      </c>
      <c r="D67" s="306"/>
      <c r="E67" s="346">
        <f>ROUND(E65*E66,0)</f>
        <v>0</v>
      </c>
      <c r="F67" s="346">
        <f t="shared" ref="F67:L67" si="20">ROUND(F65*F66,0)</f>
        <v>0</v>
      </c>
      <c r="G67" s="346">
        <f t="shared" si="20"/>
        <v>0</v>
      </c>
      <c r="H67" s="346">
        <f t="shared" si="20"/>
        <v>0</v>
      </c>
      <c r="I67" s="346">
        <f t="shared" si="20"/>
        <v>0</v>
      </c>
      <c r="J67" s="346">
        <f t="shared" si="20"/>
        <v>0</v>
      </c>
      <c r="K67" s="346">
        <f t="shared" si="20"/>
        <v>0</v>
      </c>
      <c r="L67" s="346">
        <f t="shared" si="20"/>
        <v>0</v>
      </c>
      <c r="N67" s="282"/>
      <c r="O67" s="97">
        <v>2</v>
      </c>
      <c r="P67" s="82">
        <f t="shared" si="17"/>
        <v>4</v>
      </c>
      <c r="Q67" s="82">
        <f>COUNTIFS($O$1:$O67,1)</f>
        <v>10</v>
      </c>
      <c r="R67" s="82">
        <f t="shared" si="16"/>
        <v>4</v>
      </c>
      <c r="S67" s="82"/>
      <c r="T67" s="94" t="str">
        <f t="shared" si="3"/>
        <v>4.10.4.</v>
      </c>
      <c r="U67" s="97"/>
    </row>
    <row r="68" spans="1:21" ht="30" customHeight="1" thickBot="1" x14ac:dyDescent="0.35">
      <c r="A68" s="100" t="str">
        <f t="shared" si="7"/>
        <v>4.10.5.</v>
      </c>
      <c r="B68" s="98" t="s">
        <v>367</v>
      </c>
      <c r="C68" s="93"/>
      <c r="D68" s="478"/>
      <c r="E68" s="478"/>
      <c r="F68" s="478"/>
      <c r="G68" s="478"/>
      <c r="H68" s="478"/>
      <c r="I68" s="478"/>
      <c r="J68" s="478"/>
      <c r="K68" s="478"/>
      <c r="L68" s="478"/>
      <c r="N68" s="282" t="s">
        <v>950</v>
      </c>
      <c r="O68" s="97">
        <v>2</v>
      </c>
      <c r="P68" s="82">
        <f t="shared" si="17"/>
        <v>4</v>
      </c>
      <c r="Q68" s="82">
        <f>COUNTIFS($O$1:$O68,1)</f>
        <v>10</v>
      </c>
      <c r="R68" s="82">
        <f t="shared" si="16"/>
        <v>5</v>
      </c>
      <c r="S68" s="82"/>
      <c r="T68" s="94" t="str">
        <f t="shared" si="3"/>
        <v>4.10.5.</v>
      </c>
      <c r="U68" s="97"/>
    </row>
    <row r="69" spans="1:21" ht="13.8" x14ac:dyDescent="0.3">
      <c r="A69" s="54" t="str">
        <f t="shared" si="7"/>
        <v>4.11.</v>
      </c>
      <c r="B69" s="192" t="s">
        <v>361</v>
      </c>
      <c r="C69" s="91"/>
      <c r="D69" s="480"/>
      <c r="E69" s="480"/>
      <c r="F69" s="480"/>
      <c r="G69" s="480"/>
      <c r="H69" s="480"/>
      <c r="I69" s="480"/>
      <c r="J69" s="480"/>
      <c r="K69" s="480"/>
      <c r="L69" s="480"/>
      <c r="N69" s="282" t="s">
        <v>951</v>
      </c>
      <c r="O69" s="97">
        <v>1</v>
      </c>
      <c r="P69" s="82">
        <f t="shared" si="17"/>
        <v>4</v>
      </c>
      <c r="Q69" s="82">
        <f>COUNTIFS($O$1:$O69,1)</f>
        <v>11</v>
      </c>
      <c r="R69" s="82" t="str">
        <f t="shared" si="16"/>
        <v/>
      </c>
      <c r="S69" s="82"/>
      <c r="T69" s="94" t="str">
        <f t="shared" si="3"/>
        <v>4.11.</v>
      </c>
      <c r="U69" s="97"/>
    </row>
    <row r="70" spans="1:21" ht="13.8" x14ac:dyDescent="0.3">
      <c r="A70" s="44" t="str">
        <f t="shared" si="7"/>
        <v>4.11.1.</v>
      </c>
      <c r="B70" s="99" t="s">
        <v>357</v>
      </c>
      <c r="C70" s="90"/>
      <c r="D70" s="481"/>
      <c r="E70" s="481"/>
      <c r="F70" s="481"/>
      <c r="G70" s="481"/>
      <c r="H70" s="481"/>
      <c r="I70" s="481"/>
      <c r="J70" s="481"/>
      <c r="K70" s="481"/>
      <c r="L70" s="481"/>
      <c r="N70" s="282" t="s">
        <v>946</v>
      </c>
      <c r="O70" s="97">
        <v>2</v>
      </c>
      <c r="P70" s="82">
        <f t="shared" si="17"/>
        <v>4</v>
      </c>
      <c r="Q70" s="82">
        <f>COUNTIFS($O$1:$O70,1)</f>
        <v>11</v>
      </c>
      <c r="R70" s="82">
        <f t="shared" si="16"/>
        <v>1</v>
      </c>
      <c r="S70" s="82"/>
      <c r="T70" s="94" t="str">
        <f t="shared" si="3"/>
        <v>4.11.1.</v>
      </c>
      <c r="U70" s="97"/>
    </row>
    <row r="71" spans="1:21" ht="13.8" x14ac:dyDescent="0.3">
      <c r="A71" s="44" t="str">
        <f t="shared" si="7"/>
        <v>4.11.2.</v>
      </c>
      <c r="B71" s="13" t="s">
        <v>18</v>
      </c>
      <c r="C71" s="293" t="s">
        <v>240</v>
      </c>
      <c r="D71" s="306"/>
      <c r="E71" s="306"/>
      <c r="F71" s="306"/>
      <c r="G71" s="306"/>
      <c r="H71" s="306"/>
      <c r="I71" s="306"/>
      <c r="J71" s="306"/>
      <c r="K71" s="306"/>
      <c r="L71" s="306"/>
      <c r="N71" s="283" t="s">
        <v>947</v>
      </c>
      <c r="O71" s="97">
        <v>2</v>
      </c>
      <c r="P71" s="82">
        <f t="shared" si="17"/>
        <v>4</v>
      </c>
      <c r="Q71" s="82">
        <f>COUNTIFS($O$1:$O71,1)</f>
        <v>11</v>
      </c>
      <c r="R71" s="82">
        <f t="shared" si="16"/>
        <v>2</v>
      </c>
      <c r="S71" s="82"/>
      <c r="T71" s="94" t="str">
        <f t="shared" ref="T71:T86" si="21">CONCATENATE($P71, ".", $Q71, IF($R71&lt;&gt;"", CONCATENATE(".", $R71), ""), ".")</f>
        <v>4.11.2.</v>
      </c>
      <c r="U71" s="97"/>
    </row>
    <row r="72" spans="1:21" ht="13.8" x14ac:dyDescent="0.3">
      <c r="A72" s="44" t="str">
        <f t="shared" si="7"/>
        <v>4.11.3.</v>
      </c>
      <c r="B72" s="13" t="s">
        <v>19</v>
      </c>
      <c r="C72" s="14" t="str">
        <f>CONCATENATE("Eur/",C71)</f>
        <v>Eur/val.</v>
      </c>
      <c r="D72" s="345" t="str">
        <f>IFERROR(ROUND(D73/D71,2),"-")</f>
        <v>-</v>
      </c>
      <c r="E72" s="307"/>
      <c r="F72" s="307"/>
      <c r="G72" s="307"/>
      <c r="H72" s="307"/>
      <c r="I72" s="307"/>
      <c r="J72" s="307"/>
      <c r="K72" s="307"/>
      <c r="L72" s="307"/>
      <c r="N72" s="282" t="s">
        <v>949</v>
      </c>
      <c r="O72" s="97">
        <v>2</v>
      </c>
      <c r="P72" s="82">
        <f t="shared" si="17"/>
        <v>4</v>
      </c>
      <c r="Q72" s="82">
        <f>COUNTIFS($O$1:$O72,1)</f>
        <v>11</v>
      </c>
      <c r="R72" s="82">
        <f t="shared" si="16"/>
        <v>3</v>
      </c>
      <c r="S72" s="82"/>
      <c r="T72" s="94" t="str">
        <f t="shared" si="21"/>
        <v>4.11.3.</v>
      </c>
      <c r="U72" s="97"/>
    </row>
    <row r="73" spans="1:21" ht="13.8" x14ac:dyDescent="0.3">
      <c r="A73" s="44" t="str">
        <f t="shared" si="7"/>
        <v>4.11.4.</v>
      </c>
      <c r="B73" s="13" t="s">
        <v>360</v>
      </c>
      <c r="C73" s="14" t="s">
        <v>15</v>
      </c>
      <c r="D73" s="306"/>
      <c r="E73" s="346">
        <f>ROUND(E71*E72,0)</f>
        <v>0</v>
      </c>
      <c r="F73" s="346">
        <f t="shared" ref="F73:L73" si="22">ROUND(F71*F72,0)</f>
        <v>0</v>
      </c>
      <c r="G73" s="346">
        <f t="shared" si="22"/>
        <v>0</v>
      </c>
      <c r="H73" s="346">
        <f t="shared" si="22"/>
        <v>0</v>
      </c>
      <c r="I73" s="346">
        <f t="shared" si="22"/>
        <v>0</v>
      </c>
      <c r="J73" s="346">
        <f t="shared" si="22"/>
        <v>0</v>
      </c>
      <c r="K73" s="346">
        <f t="shared" si="22"/>
        <v>0</v>
      </c>
      <c r="L73" s="346">
        <f t="shared" si="22"/>
        <v>0</v>
      </c>
      <c r="N73" s="282"/>
      <c r="O73" s="97">
        <v>2</v>
      </c>
      <c r="P73" s="82">
        <f t="shared" si="17"/>
        <v>4</v>
      </c>
      <c r="Q73" s="82">
        <f>COUNTIFS($O$1:$O73,1)</f>
        <v>11</v>
      </c>
      <c r="R73" s="82">
        <f t="shared" si="16"/>
        <v>4</v>
      </c>
      <c r="S73" s="82"/>
      <c r="T73" s="94" t="str">
        <f t="shared" si="21"/>
        <v>4.11.4.</v>
      </c>
      <c r="U73" s="97"/>
    </row>
    <row r="74" spans="1:21" ht="30" customHeight="1" thickBot="1" x14ac:dyDescent="0.35">
      <c r="A74" s="100" t="str">
        <f t="shared" si="7"/>
        <v>4.11.5.</v>
      </c>
      <c r="B74" s="98" t="s">
        <v>367</v>
      </c>
      <c r="C74" s="93"/>
      <c r="D74" s="478"/>
      <c r="E74" s="478"/>
      <c r="F74" s="478"/>
      <c r="G74" s="478"/>
      <c r="H74" s="478"/>
      <c r="I74" s="478"/>
      <c r="J74" s="478"/>
      <c r="K74" s="478"/>
      <c r="L74" s="478"/>
      <c r="N74" s="282" t="s">
        <v>950</v>
      </c>
      <c r="O74" s="97">
        <v>2</v>
      </c>
      <c r="P74" s="82">
        <f t="shared" si="17"/>
        <v>4</v>
      </c>
      <c r="Q74" s="82">
        <f>COUNTIFS($O$1:$O74,1)</f>
        <v>11</v>
      </c>
      <c r="R74" s="82">
        <f t="shared" si="16"/>
        <v>5</v>
      </c>
      <c r="S74" s="82"/>
      <c r="T74" s="94" t="str">
        <f t="shared" si="21"/>
        <v>4.11.5.</v>
      </c>
      <c r="U74" s="97"/>
    </row>
    <row r="75" spans="1:21" ht="13.8" x14ac:dyDescent="0.3">
      <c r="A75" s="54" t="str">
        <f t="shared" si="7"/>
        <v>4.12.</v>
      </c>
      <c r="B75" s="192" t="s">
        <v>363</v>
      </c>
      <c r="C75" s="91"/>
      <c r="D75" s="480"/>
      <c r="E75" s="480"/>
      <c r="F75" s="480"/>
      <c r="G75" s="480"/>
      <c r="H75" s="480"/>
      <c r="I75" s="480"/>
      <c r="J75" s="480"/>
      <c r="K75" s="480"/>
      <c r="L75" s="480"/>
      <c r="N75" s="282" t="s">
        <v>952</v>
      </c>
      <c r="O75" s="97">
        <v>1</v>
      </c>
      <c r="P75" s="82">
        <f t="shared" si="17"/>
        <v>4</v>
      </c>
      <c r="Q75" s="82">
        <f>COUNTIFS($O$1:$O75,1)</f>
        <v>12</v>
      </c>
      <c r="R75" s="82" t="str">
        <f t="shared" si="16"/>
        <v/>
      </c>
      <c r="S75" s="82"/>
      <c r="T75" s="94" t="str">
        <f t="shared" si="21"/>
        <v>4.12.</v>
      </c>
      <c r="U75" s="97"/>
    </row>
    <row r="76" spans="1:21" ht="13.8" x14ac:dyDescent="0.3">
      <c r="A76" s="44" t="str">
        <f t="shared" ref="A76:A86" si="23">CONCATENATE($P76, ".", $Q76, IF($R76&lt;&gt;"", CONCATENATE(".", $R76), ""), ".")</f>
        <v>4.12.1.</v>
      </c>
      <c r="B76" s="99" t="s">
        <v>357</v>
      </c>
      <c r="C76" s="90"/>
      <c r="D76" s="479"/>
      <c r="E76" s="479"/>
      <c r="F76" s="479"/>
      <c r="G76" s="479"/>
      <c r="H76" s="479"/>
      <c r="I76" s="479"/>
      <c r="J76" s="479"/>
      <c r="K76" s="479"/>
      <c r="L76" s="479"/>
      <c r="N76" s="282" t="s">
        <v>946</v>
      </c>
      <c r="O76" s="97">
        <v>2</v>
      </c>
      <c r="P76" s="82">
        <f t="shared" si="17"/>
        <v>4</v>
      </c>
      <c r="Q76" s="82">
        <f>COUNTIFS($O$1:$O76,1)</f>
        <v>12</v>
      </c>
      <c r="R76" s="82">
        <f t="shared" si="16"/>
        <v>1</v>
      </c>
      <c r="S76" s="82"/>
      <c r="T76" s="94" t="str">
        <f t="shared" si="21"/>
        <v>4.12.1.</v>
      </c>
      <c r="U76" s="97"/>
    </row>
    <row r="77" spans="1:21" ht="13.8" x14ac:dyDescent="0.3">
      <c r="A77" s="44" t="str">
        <f t="shared" si="23"/>
        <v>4.12.2.</v>
      </c>
      <c r="B77" s="22" t="s">
        <v>18</v>
      </c>
      <c r="C77" s="293" t="s">
        <v>20</v>
      </c>
      <c r="D77" s="306"/>
      <c r="E77" s="306"/>
      <c r="F77" s="306"/>
      <c r="G77" s="306"/>
      <c r="H77" s="306"/>
      <c r="I77" s="306"/>
      <c r="J77" s="306"/>
      <c r="K77" s="306"/>
      <c r="L77" s="306"/>
      <c r="N77" s="283" t="s">
        <v>947</v>
      </c>
      <c r="O77" s="97">
        <v>2</v>
      </c>
      <c r="P77" s="82">
        <f t="shared" si="17"/>
        <v>4</v>
      </c>
      <c r="Q77" s="82">
        <f>COUNTIFS($O$1:$O77,1)</f>
        <v>12</v>
      </c>
      <c r="R77" s="82">
        <f t="shared" si="16"/>
        <v>2</v>
      </c>
      <c r="S77" s="82"/>
      <c r="T77" s="94" t="str">
        <f t="shared" si="21"/>
        <v>4.12.2.</v>
      </c>
      <c r="U77" s="97"/>
    </row>
    <row r="78" spans="1:21" ht="13.8" x14ac:dyDescent="0.3">
      <c r="A78" s="44" t="str">
        <f t="shared" si="23"/>
        <v>4.12.3.</v>
      </c>
      <c r="B78" s="22" t="s">
        <v>19</v>
      </c>
      <c r="C78" s="14" t="str">
        <f>CONCATENATE("Eur/",C77)</f>
        <v>Eur/vnt.</v>
      </c>
      <c r="D78" s="345" t="str">
        <f>IFERROR(ROUND(D79/D77,2),"-")</f>
        <v>-</v>
      </c>
      <c r="E78" s="307"/>
      <c r="F78" s="307"/>
      <c r="G78" s="307"/>
      <c r="H78" s="307"/>
      <c r="I78" s="307"/>
      <c r="J78" s="307"/>
      <c r="K78" s="307"/>
      <c r="L78" s="307"/>
      <c r="N78" s="282" t="s">
        <v>949</v>
      </c>
      <c r="O78" s="97">
        <v>2</v>
      </c>
      <c r="P78" s="82">
        <f t="shared" si="17"/>
        <v>4</v>
      </c>
      <c r="Q78" s="82">
        <f>COUNTIFS($O$1:$O78,1)</f>
        <v>12</v>
      </c>
      <c r="R78" s="82">
        <f t="shared" si="16"/>
        <v>3</v>
      </c>
      <c r="S78" s="82"/>
      <c r="T78" s="94" t="str">
        <f t="shared" si="21"/>
        <v>4.12.3.</v>
      </c>
      <c r="U78" s="97"/>
    </row>
    <row r="79" spans="1:21" ht="13.8" x14ac:dyDescent="0.3">
      <c r="A79" s="44" t="str">
        <f t="shared" si="23"/>
        <v>4.12.4.</v>
      </c>
      <c r="B79" s="24" t="s">
        <v>364</v>
      </c>
      <c r="C79" s="41" t="s">
        <v>15</v>
      </c>
      <c r="D79" s="306"/>
      <c r="E79" s="346">
        <f>ROUND(E77*E78,0)</f>
        <v>0</v>
      </c>
      <c r="F79" s="346">
        <f t="shared" ref="F79:L79" si="24">ROUND(F77*F78,0)</f>
        <v>0</v>
      </c>
      <c r="G79" s="346">
        <f t="shared" si="24"/>
        <v>0</v>
      </c>
      <c r="H79" s="346">
        <f t="shared" si="24"/>
        <v>0</v>
      </c>
      <c r="I79" s="346">
        <f t="shared" si="24"/>
        <v>0</v>
      </c>
      <c r="J79" s="346">
        <f t="shared" si="24"/>
        <v>0</v>
      </c>
      <c r="K79" s="346">
        <f t="shared" si="24"/>
        <v>0</v>
      </c>
      <c r="L79" s="346">
        <f t="shared" si="24"/>
        <v>0</v>
      </c>
      <c r="N79" s="282"/>
      <c r="O79" s="97">
        <v>2</v>
      </c>
      <c r="P79" s="82">
        <f t="shared" si="17"/>
        <v>4</v>
      </c>
      <c r="Q79" s="82">
        <f>COUNTIFS($O$1:$O79,1)</f>
        <v>12</v>
      </c>
      <c r="R79" s="82">
        <f t="shared" si="16"/>
        <v>4</v>
      </c>
      <c r="S79" s="82"/>
      <c r="T79" s="94" t="str">
        <f t="shared" si="21"/>
        <v>4.12.4.</v>
      </c>
      <c r="U79" s="97"/>
    </row>
    <row r="80" spans="1:21" ht="30" customHeight="1" thickBot="1" x14ac:dyDescent="0.35">
      <c r="A80" s="100" t="str">
        <f t="shared" si="23"/>
        <v>4.12.5.</v>
      </c>
      <c r="B80" s="92" t="s">
        <v>367</v>
      </c>
      <c r="C80" s="93"/>
      <c r="D80" s="478"/>
      <c r="E80" s="478"/>
      <c r="F80" s="478"/>
      <c r="G80" s="478"/>
      <c r="H80" s="478"/>
      <c r="I80" s="478"/>
      <c r="J80" s="478"/>
      <c r="K80" s="478"/>
      <c r="L80" s="478"/>
      <c r="N80" s="282" t="s">
        <v>950</v>
      </c>
      <c r="O80" s="97">
        <v>2</v>
      </c>
      <c r="P80" s="82">
        <f t="shared" si="17"/>
        <v>4</v>
      </c>
      <c r="Q80" s="82">
        <f>COUNTIFS($O$1:$O80,1)</f>
        <v>12</v>
      </c>
      <c r="R80" s="82">
        <f t="shared" si="16"/>
        <v>5</v>
      </c>
      <c r="S80" s="82"/>
      <c r="T80" s="94" t="str">
        <f t="shared" si="21"/>
        <v>4.12.5.</v>
      </c>
      <c r="U80" s="97"/>
    </row>
    <row r="81" spans="1:21" ht="13.8" x14ac:dyDescent="0.3">
      <c r="A81" s="54" t="str">
        <f t="shared" si="23"/>
        <v>4.13.</v>
      </c>
      <c r="B81" s="192" t="s">
        <v>363</v>
      </c>
      <c r="C81" s="91"/>
      <c r="D81" s="480"/>
      <c r="E81" s="480"/>
      <c r="F81" s="480"/>
      <c r="G81" s="480"/>
      <c r="H81" s="480"/>
      <c r="I81" s="480"/>
      <c r="J81" s="480"/>
      <c r="K81" s="480"/>
      <c r="L81" s="480"/>
      <c r="N81" s="282" t="s">
        <v>952</v>
      </c>
      <c r="O81" s="97">
        <v>1</v>
      </c>
      <c r="P81" s="82">
        <f t="shared" si="17"/>
        <v>4</v>
      </c>
      <c r="Q81" s="82">
        <f>COUNTIFS($O$1:$O81,1)</f>
        <v>13</v>
      </c>
      <c r="R81" s="82" t="str">
        <f t="shared" ref="R81:R86" si="25">IF($O81=$R$1,IF($O81&lt;&gt;$O80, 1, R80+1),"")</f>
        <v/>
      </c>
      <c r="S81" s="82"/>
      <c r="T81" s="94" t="str">
        <f t="shared" si="21"/>
        <v>4.13.</v>
      </c>
      <c r="U81" s="97"/>
    </row>
    <row r="82" spans="1:21" ht="13.8" x14ac:dyDescent="0.3">
      <c r="A82" s="44" t="str">
        <f t="shared" si="23"/>
        <v>4.13.1.</v>
      </c>
      <c r="B82" s="99" t="s">
        <v>357</v>
      </c>
      <c r="C82" s="90"/>
      <c r="D82" s="481"/>
      <c r="E82" s="481"/>
      <c r="F82" s="481"/>
      <c r="G82" s="481"/>
      <c r="H82" s="481"/>
      <c r="I82" s="481"/>
      <c r="J82" s="481"/>
      <c r="K82" s="481"/>
      <c r="L82" s="481"/>
      <c r="N82" s="282" t="s">
        <v>946</v>
      </c>
      <c r="O82" s="97">
        <v>2</v>
      </c>
      <c r="P82" s="82">
        <f t="shared" si="17"/>
        <v>4</v>
      </c>
      <c r="Q82" s="82">
        <f>COUNTIFS($O$1:$O82,1)</f>
        <v>13</v>
      </c>
      <c r="R82" s="82">
        <f t="shared" si="25"/>
        <v>1</v>
      </c>
      <c r="S82" s="82"/>
      <c r="T82" s="94" t="str">
        <f t="shared" si="21"/>
        <v>4.13.1.</v>
      </c>
      <c r="U82" s="97"/>
    </row>
    <row r="83" spans="1:21" ht="13.8" x14ac:dyDescent="0.3">
      <c r="A83" s="44" t="str">
        <f t="shared" si="23"/>
        <v>4.13.2.</v>
      </c>
      <c r="B83" s="22" t="s">
        <v>18</v>
      </c>
      <c r="C83" s="293" t="s">
        <v>371</v>
      </c>
      <c r="D83" s="306"/>
      <c r="E83" s="306"/>
      <c r="F83" s="306"/>
      <c r="G83" s="306"/>
      <c r="H83" s="306"/>
      <c r="I83" s="306"/>
      <c r="J83" s="306"/>
      <c r="K83" s="306"/>
      <c r="L83" s="306"/>
      <c r="N83" s="283" t="s">
        <v>947</v>
      </c>
      <c r="O83" s="97">
        <v>2</v>
      </c>
      <c r="P83" s="82">
        <f t="shared" si="17"/>
        <v>4</v>
      </c>
      <c r="Q83" s="82">
        <f>COUNTIFS($O$1:$O83,1)</f>
        <v>13</v>
      </c>
      <c r="R83" s="82">
        <f t="shared" si="25"/>
        <v>2</v>
      </c>
      <c r="S83" s="82"/>
      <c r="T83" s="94" t="str">
        <f t="shared" si="21"/>
        <v>4.13.2.</v>
      </c>
      <c r="U83" s="97"/>
    </row>
    <row r="84" spans="1:21" ht="13.8" x14ac:dyDescent="0.3">
      <c r="A84" s="44" t="str">
        <f t="shared" si="23"/>
        <v>4.13.3.</v>
      </c>
      <c r="B84" s="22" t="s">
        <v>19</v>
      </c>
      <c r="C84" s="14" t="str">
        <f>CONCATENATE("Eur/",C83)</f>
        <v>Eur/m3</v>
      </c>
      <c r="D84" s="345" t="str">
        <f>IFERROR(ROUND(D85/D83,2),"-")</f>
        <v>-</v>
      </c>
      <c r="E84" s="307"/>
      <c r="F84" s="307"/>
      <c r="G84" s="307"/>
      <c r="H84" s="307"/>
      <c r="I84" s="307"/>
      <c r="J84" s="307"/>
      <c r="K84" s="307"/>
      <c r="L84" s="307"/>
      <c r="N84" s="282" t="s">
        <v>949</v>
      </c>
      <c r="O84" s="97">
        <v>2</v>
      </c>
      <c r="P84" s="82">
        <f t="shared" si="17"/>
        <v>4</v>
      </c>
      <c r="Q84" s="82">
        <f>COUNTIFS($O$1:$O84,1)</f>
        <v>13</v>
      </c>
      <c r="R84" s="82">
        <f t="shared" si="25"/>
        <v>3</v>
      </c>
      <c r="S84" s="82"/>
      <c r="T84" s="94" t="str">
        <f t="shared" si="21"/>
        <v>4.13.3.</v>
      </c>
      <c r="U84" s="97"/>
    </row>
    <row r="85" spans="1:21" ht="13.8" x14ac:dyDescent="0.3">
      <c r="A85" s="44" t="str">
        <f t="shared" si="23"/>
        <v>4.13.4.</v>
      </c>
      <c r="B85" s="24" t="s">
        <v>364</v>
      </c>
      <c r="C85" s="41" t="s">
        <v>15</v>
      </c>
      <c r="D85" s="306"/>
      <c r="E85" s="346">
        <f>ROUND(E83*E84,0)</f>
        <v>0</v>
      </c>
      <c r="F85" s="346">
        <f t="shared" ref="F85:L85" si="26">ROUND(F83*F84,0)</f>
        <v>0</v>
      </c>
      <c r="G85" s="346">
        <f t="shared" si="26"/>
        <v>0</v>
      </c>
      <c r="H85" s="346">
        <f t="shared" si="26"/>
        <v>0</v>
      </c>
      <c r="I85" s="346">
        <f t="shared" si="26"/>
        <v>0</v>
      </c>
      <c r="J85" s="346">
        <f t="shared" si="26"/>
        <v>0</v>
      </c>
      <c r="K85" s="346">
        <f t="shared" si="26"/>
        <v>0</v>
      </c>
      <c r="L85" s="346">
        <f t="shared" si="26"/>
        <v>0</v>
      </c>
      <c r="N85" s="282"/>
      <c r="O85" s="97">
        <v>2</v>
      </c>
      <c r="P85" s="82">
        <f t="shared" si="17"/>
        <v>4</v>
      </c>
      <c r="Q85" s="82">
        <f>COUNTIFS($O$1:$O85,1)</f>
        <v>13</v>
      </c>
      <c r="R85" s="82">
        <f t="shared" si="25"/>
        <v>4</v>
      </c>
      <c r="S85" s="82"/>
      <c r="T85" s="94" t="str">
        <f t="shared" si="21"/>
        <v>4.13.4.</v>
      </c>
      <c r="U85" s="97"/>
    </row>
    <row r="86" spans="1:21" ht="30" customHeight="1" thickBot="1" x14ac:dyDescent="0.35">
      <c r="A86" s="100" t="str">
        <f t="shared" si="23"/>
        <v>4.13.5.</v>
      </c>
      <c r="B86" s="92" t="s">
        <v>367</v>
      </c>
      <c r="C86" s="93"/>
      <c r="D86" s="478"/>
      <c r="E86" s="478"/>
      <c r="F86" s="478"/>
      <c r="G86" s="478"/>
      <c r="H86" s="478"/>
      <c r="I86" s="478"/>
      <c r="J86" s="478"/>
      <c r="K86" s="478"/>
      <c r="L86" s="478"/>
      <c r="N86" s="282" t="s">
        <v>950</v>
      </c>
      <c r="O86" s="97">
        <v>2</v>
      </c>
      <c r="P86" s="82">
        <f t="shared" si="17"/>
        <v>4</v>
      </c>
      <c r="Q86" s="82">
        <f>COUNTIFS($O$1:$O86,1)</f>
        <v>13</v>
      </c>
      <c r="R86" s="82">
        <f t="shared" si="25"/>
        <v>5</v>
      </c>
      <c r="S86" s="82"/>
      <c r="T86" s="94" t="str">
        <f t="shared" si="21"/>
        <v>4.13.5.</v>
      </c>
      <c r="U86" s="97"/>
    </row>
  </sheetData>
  <sheetProtection algorithmName="SHA-512" hashValue="2eglP+m3iSqUndmt0b0/IFQznOe7FZ15J9k8ATGfIVNgKZPGrn27CQE/DI/dL0JmgaoTk/9ozi57xVuUSF69+g==" saltValue="3/L0UqC1+v3HbVGJMAuXWg==" spinCount="100000" sheet="1" objects="1" scenarios="1" formatRows="0" insertRows="0"/>
  <protectedRanges>
    <protectedRange algorithmName="SHA-512" hashValue="qQE6uebK5o2iwDDIF8x6JRNnOY97S+9+CFb5Yi+kyq9ZnKFZjhIYNbNm6vbvBuetk9NwD1tW5gdOaHfvTmfYfA==" saltValue="xMe7ySoI1Z2QArVuRWYd/Q==" spinCount="100000" sqref="A66:C86" name="Range1"/>
  </protectedRanges>
  <mergeCells count="40">
    <mergeCell ref="D16:L16"/>
    <mergeCell ref="D46:L46"/>
    <mergeCell ref="D51:L51"/>
    <mergeCell ref="D52:L52"/>
    <mergeCell ref="D57:L57"/>
    <mergeCell ref="D37:L37"/>
    <mergeCell ref="D44:L44"/>
    <mergeCell ref="D30:L30"/>
    <mergeCell ref="D50:L50"/>
    <mergeCell ref="D56:L56"/>
    <mergeCell ref="D76:L76"/>
    <mergeCell ref="D81:L81"/>
    <mergeCell ref="D82:L82"/>
    <mergeCell ref="D23:L23"/>
    <mergeCell ref="D80:L80"/>
    <mergeCell ref="D62:L62"/>
    <mergeCell ref="D68:L68"/>
    <mergeCell ref="D74:L74"/>
    <mergeCell ref="D58:L58"/>
    <mergeCell ref="D86:L86"/>
    <mergeCell ref="D11:L11"/>
    <mergeCell ref="D63:L63"/>
    <mergeCell ref="D64:L64"/>
    <mergeCell ref="D69:L69"/>
    <mergeCell ref="D70:L70"/>
    <mergeCell ref="D17:L17"/>
    <mergeCell ref="D18:L18"/>
    <mergeCell ref="D24:L24"/>
    <mergeCell ref="D25:L25"/>
    <mergeCell ref="D31:L31"/>
    <mergeCell ref="D32:L32"/>
    <mergeCell ref="D38:L38"/>
    <mergeCell ref="D39:L39"/>
    <mergeCell ref="D45:L45"/>
    <mergeCell ref="D75:L75"/>
    <mergeCell ref="B2:L2"/>
    <mergeCell ref="A4:B5"/>
    <mergeCell ref="C4:C5"/>
    <mergeCell ref="E4:L4"/>
    <mergeCell ref="D10:L10"/>
  </mergeCells>
  <phoneticPr fontId="12" type="noConversion"/>
  <conditionalFormatting sqref="C12">
    <cfRule type="expression" dxfId="100" priority="6">
      <formula>C12=""</formula>
    </cfRule>
  </conditionalFormatting>
  <conditionalFormatting sqref="D5:L5">
    <cfRule type="expression" dxfId="99" priority="1">
      <formula>D5="-"</formula>
    </cfRule>
  </conditionalFormatting>
  <pageMargins left="0.70866141732283472" right="0.70866141732283472" top="0.74803149606299213" bottom="0.74803149606299213" header="0.31496062992125984" footer="0.31496062992125984"/>
  <pageSetup paperSize="9" orientation="landscape" blackAndWhite="1" r:id="rId1"/>
  <extLst>
    <ext xmlns:x14="http://schemas.microsoft.com/office/spreadsheetml/2009/9/main" uri="{78C0D931-6437-407d-A8EE-F0AAD7539E65}">
      <x14:conditionalFormattings>
        <x14:conditionalFormatting xmlns:xm="http://schemas.microsoft.com/office/excel/2006/main">
          <x14:cfRule type="expression" priority="2" id="{4821CE46-9C7D-44A6-A730-C858F453A760}">
            <xm:f>AND(D5&gt;=YEAR(Parametrai!$C$13),D5&lt;=MIN(YEAR('1'!$C$18),YEAR(EOMONTH(Parametrai!$C$13,Parametrai!$C$14)),IF(Parametrai!$C$16&lt;&gt;0,YEAR(Parametrai!$C$16),YEAR(EOMONTH(Parametrai!$C$13,Parametrai!$C$14)))))</xm:f>
            <x14:dxf>
              <fill>
                <patternFill>
                  <bgColor rgb="FFFFF0D2"/>
                </patternFill>
              </fill>
            </x14:dxf>
          </x14:cfRule>
          <xm:sqref>D5:L5</xm:sqref>
        </x14:conditionalFormatting>
      </x14:conditionalFormattings>
    </ext>
    <ext xmlns:x14="http://schemas.microsoft.com/office/spreadsheetml/2009/9/main" uri="{CCE6A557-97BC-4b89-ADB6-D9C93CAAB3DF}">
      <x14:dataValidations xmlns:xm="http://schemas.microsoft.com/office/excel/2006/main" count="1">
        <x14:dataValidation type="list" errorStyle="warning" allowBlank="1" showInputMessage="1" showErrorMessage="1" error="Įsitikinkite, kad įvedėte teisingą matavimo vienetą" prompt="Įveskite pardavimų kiekio matavimo vienetą. Gali būti pasirenkamas iš sąrašo, jei sąraše nėra, gali būti įvedamas savarankiškai." xr:uid="{45DDD134-D133-4EE6-8204-399327EDA876}">
          <x14:formula1>
            <xm:f>Konstantos!$A$90:$A$95</xm:f>
          </x14:formula1>
          <xm:sqref>C12 C83 C77 C71 C65 C59 C53 C47 C40 C33 C26 C19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A60A370FD3C854492F056983C98F7C8" ma:contentTypeVersion="11" ma:contentTypeDescription="Create a new document." ma:contentTypeScope="" ma:versionID="29c77a293eccc6520abd328c91da1b86">
  <xsd:schema xmlns:xsd="http://www.w3.org/2001/XMLSchema" xmlns:xs="http://www.w3.org/2001/XMLSchema" xmlns:p="http://schemas.microsoft.com/office/2006/metadata/properties" xmlns:ns3="e9c60118-e424-4716-b915-e6eeaaa56a10" targetNamespace="http://schemas.microsoft.com/office/2006/metadata/properties" ma:root="true" ma:fieldsID="e0cfe1c334bf544fe5223c9d9fd974a1" ns3:_="">
    <xsd:import namespace="e9c60118-e424-4716-b915-e6eeaaa56a10"/>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element ref="ns3:_activity" minOccurs="0"/>
                <xsd:element ref="ns3:MediaServiceSystemTags" minOccurs="0"/>
                <xsd:element ref="ns3:MediaServiceOCR"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c60118-e424-4716-b915-e6eeaaa56a10"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_activity" ma:index="13" nillable="true" ma:displayName="_activity" ma:hidden="true" ma:internalName="_activity">
      <xsd:simpleType>
        <xsd:restriction base="dms:Note"/>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AFEJSONBlob xmlns="http://schemas.advancedformulaenvironment.officeapps.live.com/afejsonblob/1.0">ewAiAHMAYwBoAGUAbQBhACIAOgAiAGgAdAB0AHAAOgAvAC8AcwBjAGgAZQBtAGEAcwAuAGEAZAB2AGEAbgBjAGUAZABmAG8AcgBtAHUAbABhAGUAbgB2AGkAcgBvAG4AbQBlAG4AdAAuAG8AZgBmAGkAYwBlAGEAcABwAHMALgBsAGkAdgBlAC4AYwBvAG0ALwBhAGYAZQBwAHIAbwBqAGUAYwB0AHMALwAwAC4AMgAiACwAIgBmAGkAbABlAHMAIgA6AFsAewAiAHAAYQB0AGgAIgA6ACIALwBwAHIAbwBqAGUAYwB0AHMALwBXAG8AcgBrAGIAbwBvAGsAIgAsACIAdABlAHgAdAAiADoAIgAvAC8AIAAtAC0ALQAgAFcAbwByAGsAYgBvAG8AawAgAG0AbwBkAHUAbABlACAALQAtAC0AXABuAC8ALwAgAEEAIABmAGkAbABlACAAbwBmACAAbgBhAG0AZQAgAGQAZQBmAGkAbgBpAHQAaQBvAG4AcwAgAG8AZgAgAHQAaABlACAAZgBvAHIAbQA6AFwAbgAvAC8AIAAgACAAIABuAGEAbQBlACAAPQAgAGQAZQBmAGkAbgBpAHQAaQBvAG4AOwA7AFwAbgAiAH0AXQAsACIAcAByAG8AagBlAGMAdABOAGEAbQBlAHMAIgA6AFsAXQAsACIAbABvAGMAYQBsAGUAIgA6AHsAIgBsAGkAcwB0AFMAZQBwAGEAcgBhAHQAbwByACIAOgAiADsAIgAsACIAcgBvAHcAUwBlAHAAYQByAGEAdABvAHIAIgA6ACIAOwAiACwAIgBjAG8AbAB1AG0AbgBTAGUAcABhAHIAYQB0AG8AcgAiADoAIgBcAFwAIgAsACIAdABoAG8AdQBzAGEAbgBkAHMAUwBlAHAAYQByAGEAdABvAHIAIgA6ACIAIAAiACwAIgB0AGgAbwB1AHMAYQBuAGQAcwBQAG8AcwBpAHQAaQBvAG4AcwAiADoAWwAzAF0ALAAiAGQAZQBjAGkAbQBhAGwAUwBlAHAAYQByAGEAdABvAHIAIgA6ACIALAAiACwAIgBkAGEAdABlAE8AcgBkAGUAcgAiADoAIgBZAE0ARAAiACwAIgBjAHUAcgByAGUAbgBjAHkAUwB5AG0AYgBvAGwAIgA6ACIArCAiACwAIgBpAHMAQwB1AHIAcgBlAG4AYwB5AFMAeQBtAGIAbwBsAEwAZQBhAGQAIgA6AGYAYQBsAHMAZQAsACIAaQBzAEMAdQByAHIAZQBuAGMAeQBTAGUAcABCAHkAUwBwAGEAYwBlACIAOgB0AHIAdQBlACwAIgByAG8AdwBMAGUAdAB0AGUAcgAiADoAIgBSACIALAAiAGMAbwBsAHUAbQBuAEwAZQB0AHQAZQByACIAOgAiAEMAIgAsACIAcgBjAEwAZQBmAHQAQgByAGEAYwBrAGUAdAAiADoAIgBbACIALAAiAHIAYwBSAGkAZwBoAHQAQgByAGEAYwBrAGUAdAAiADoAIgBdACIALAAiAHMAdABhAHQAZQBtAGUAbgB0AFMAZQBwAGEAcgBhAHQAbwByACIAOgAiADsAOwAiACwAIgBsAG8AYwBhAGwAZQBOAGEAbQBlACIAOgAiAGwAdAAtAGwAdAAiAH0AfQA=</AFEJSONBlob>
</file>

<file path=customXml/item4.xml><?xml version="1.0" encoding="utf-8"?>
<p:properties xmlns:p="http://schemas.microsoft.com/office/2006/metadata/properties" xmlns:xsi="http://www.w3.org/2001/XMLSchema-instance" xmlns:pc="http://schemas.microsoft.com/office/infopath/2007/PartnerControls">
  <documentManagement>
    <_activity xmlns="e9c60118-e424-4716-b915-e6eeaaa56a10" xsi:nil="true"/>
  </documentManagement>
</p:properties>
</file>

<file path=customXml/itemProps1.xml><?xml version="1.0" encoding="utf-8"?>
<ds:datastoreItem xmlns:ds="http://schemas.openxmlformats.org/officeDocument/2006/customXml" ds:itemID="{2AEBE1C7-68DB-4AB3-ADB2-CF7F09FF5CE5}">
  <ds:schemaRefs>
    <ds:schemaRef ds:uri="http://schemas.microsoft.com/sharepoint/v3/contenttype/forms"/>
  </ds:schemaRefs>
</ds:datastoreItem>
</file>

<file path=customXml/itemProps2.xml><?xml version="1.0" encoding="utf-8"?>
<ds:datastoreItem xmlns:ds="http://schemas.openxmlformats.org/officeDocument/2006/customXml" ds:itemID="{AFD9BE9D-3E8C-4917-9208-D74E8495DD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c60118-e424-4716-b915-e6eeaaa56a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A5373B-598C-436C-84E5-0F28384E1387}">
  <ds:schemaRefs>
    <ds:schemaRef ds:uri="http://schemas.advancedformulaenvironment.officeapps.live.com/afejsonblob/1.0"/>
  </ds:schemaRefs>
</ds:datastoreItem>
</file>

<file path=customXml/itemProps4.xml><?xml version="1.0" encoding="utf-8"?>
<ds:datastoreItem xmlns:ds="http://schemas.openxmlformats.org/officeDocument/2006/customXml" ds:itemID="{D404DE90-CA94-4EFB-AFDB-61DC99654621}">
  <ds:schemaRefs>
    <ds:schemaRef ds:uri="http://schemas.microsoft.com/office/2006/metadata/properties"/>
    <ds:schemaRef ds:uri="e9c60118-e424-4716-b915-e6eeaaa56a10"/>
    <ds:schemaRef ds:uri="http://schemas.microsoft.com/office/2006/documentManagement/types"/>
    <ds:schemaRef ds:uri="http://schemas.openxmlformats.org/package/2006/metadata/core-properties"/>
    <ds:schemaRef ds:uri="http://www.w3.org/XML/1998/namespace"/>
    <ds:schemaRef ds:uri="http://purl.org/dc/dcmitype/"/>
    <ds:schemaRef ds:uri="http://purl.org/dc/elements/1.1/"/>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15</vt:i4>
      </vt:variant>
    </vt:vector>
  </HeadingPairs>
  <TitlesOfParts>
    <vt:vector size="32" baseType="lpstr">
      <vt:lpstr>FA_nvoFormos</vt:lpstr>
      <vt:lpstr>Konstantos</vt:lpstr>
      <vt:lpstr>Forma</vt:lpstr>
      <vt:lpstr>Parametrai</vt:lpstr>
      <vt:lpstr>TURINYS</vt:lpstr>
      <vt:lpstr>Pastabos</vt:lpstr>
      <vt:lpstr>1</vt:lpstr>
      <vt:lpstr>2-3</vt:lpstr>
      <vt:lpstr>4</vt:lpstr>
      <vt:lpstr>5</vt:lpstr>
      <vt:lpstr>6</vt:lpstr>
      <vt:lpstr>7</vt:lpstr>
      <vt:lpstr>8</vt:lpstr>
      <vt:lpstr>9.1</vt:lpstr>
      <vt:lpstr>9.2</vt:lpstr>
      <vt:lpstr>9.3</vt:lpstr>
      <vt:lpstr>10</vt:lpstr>
      <vt:lpstr>Meniu_ParamosIšmokėjimoBūdai</vt:lpstr>
      <vt:lpstr>Meniu_TaipNe</vt:lpstr>
      <vt:lpstr>'1'!Print_Area</vt:lpstr>
      <vt:lpstr>'10'!Print_Area</vt:lpstr>
      <vt:lpstr>'2-3'!Print_Area</vt:lpstr>
      <vt:lpstr>'4'!Print_Area</vt:lpstr>
      <vt:lpstr>'5'!Print_Area</vt:lpstr>
      <vt:lpstr>'6'!Print_Area</vt:lpstr>
      <vt:lpstr>'7'!Print_Area</vt:lpstr>
      <vt:lpstr>'8'!Print_Area</vt:lpstr>
      <vt:lpstr>'9.1'!Print_Area</vt:lpstr>
      <vt:lpstr>'9.2'!Print_Area</vt:lpstr>
      <vt:lpstr>'9.3'!Print_Area</vt:lpstr>
      <vt:lpstr>Parametrai!Print_Area</vt:lpstr>
      <vt:lpstr>TURINYS!Print_Area</vt:lpstr>
    </vt:vector>
  </TitlesOfParts>
  <Company>Nacionaline mokejimo agentura prie ZUM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Aida Markaitienė</dc:creator>
  <cp:lastModifiedBy>VVG Marijampoles</cp:lastModifiedBy>
  <cp:lastPrinted>2025-11-25T07:48:07Z</cp:lastPrinted>
  <dcterms:created xsi:type="dcterms:W3CDTF">2023-12-06T11:26:15Z</dcterms:created>
  <dcterms:modified xsi:type="dcterms:W3CDTF">2026-09-02T11:09:31Z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0x0101001A60A370FD3C854492F056983C98F7C8</vt:lpwstr>
  </property>
</Properties>
</file>